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715" windowHeight="6450" activeTab="7"/>
  </bookViews>
  <sheets>
    <sheet name="สำนักปลัด" sheetId="1" r:id="rId1"/>
    <sheet name="คลัง" sheetId="6" r:id="rId2"/>
    <sheet name="ช่าง" sheetId="7" r:id="rId3"/>
    <sheet name="สาธารณสุข" sheetId="8" r:id="rId4"/>
    <sheet name="วิชาการ" sheetId="9" r:id="rId5"/>
    <sheet name="ศึกษา" sheetId="10" r:id="rId6"/>
    <sheet name="สวัสดิการ" sheetId="11" r:id="rId7"/>
    <sheet name="ตรวจสอบ (2)" sheetId="16" r:id="rId8"/>
    <sheet name="ตรวจสอบ" sheetId="12" r:id="rId9"/>
    <sheet name="สรุป" sheetId="3" r:id="rId10"/>
    <sheet name="สรุป (2)" sheetId="5" r:id="rId11"/>
    <sheet name="ช่าง (2)" sheetId="13" r:id="rId12"/>
    <sheet name="สาธารณสุข (2)" sheetId="15" r:id="rId13"/>
    <sheet name="ศึกษา (2)" sheetId="14" r:id="rId14"/>
  </sheets>
  <definedNames>
    <definedName name="_xlnm.Print_Area" localSheetId="1">คลัง!$A$1:$T$37</definedName>
    <definedName name="_xlnm.Print_Area" localSheetId="2">ช่าง!$A$1:$T$35</definedName>
    <definedName name="_xlnm.Print_Area" localSheetId="11">'ช่าง (2)'!$A$1:$T$58</definedName>
    <definedName name="_xlnm.Print_Area" localSheetId="8">ตรวจสอบ!$A$1:$T$23</definedName>
    <definedName name="_xlnm.Print_Area" localSheetId="7">'ตรวจสอบ (2)'!$A$1:$T$19</definedName>
    <definedName name="_xlnm.Print_Area" localSheetId="4">วิชาการ!$A$1:$T$24</definedName>
    <definedName name="_xlnm.Print_Area" localSheetId="5">ศึกษา!$A$1:$T$24</definedName>
    <definedName name="_xlnm.Print_Area" localSheetId="13">'ศึกษา (2)'!$A$1:$T$71</definedName>
    <definedName name="_xlnm.Print_Area" localSheetId="6">สวัสดิการ!$A$1:$T$27</definedName>
    <definedName name="_xlnm.Print_Area" localSheetId="3">สาธารณสุข!$A$1:$T$35</definedName>
    <definedName name="_xlnm.Print_Area" localSheetId="12">'สาธารณสุข (2)'!$A$1:$T$68</definedName>
    <definedName name="_xlnm.Print_Area" localSheetId="0">สำนักปลัด!$A$1:$T$35</definedName>
    <definedName name="_xlnm.Print_Titles" localSheetId="1">คลัง!$4:$6</definedName>
    <definedName name="_xlnm.Print_Titles" localSheetId="2">ช่าง!$4:$6</definedName>
    <definedName name="_xlnm.Print_Titles" localSheetId="5">ศึกษา!$4:$6</definedName>
    <definedName name="_xlnm.Print_Titles" localSheetId="3">สาธารณสุข!$4:$6</definedName>
    <definedName name="_xlnm.Print_Titles" localSheetId="0">สำนักปลัด!$4:$6</definedName>
  </definedNames>
  <calcPr calcId="124519"/>
</workbook>
</file>

<file path=xl/calcChain.xml><?xml version="1.0" encoding="utf-8"?>
<calcChain xmlns="http://schemas.openxmlformats.org/spreadsheetml/2006/main">
  <c r="O28" i="8"/>
  <c r="N28"/>
  <c r="M28"/>
  <c r="P18" i="1"/>
  <c r="Q18" s="1"/>
  <c r="R18" s="1"/>
  <c r="O18"/>
  <c r="N18"/>
  <c r="Q11" i="10"/>
  <c r="P11"/>
  <c r="O11"/>
  <c r="N11"/>
  <c r="M11"/>
  <c r="P16" i="16"/>
  <c r="Q16" s="1"/>
  <c r="O12"/>
  <c r="N12"/>
  <c r="M12"/>
  <c r="G12"/>
  <c r="D12"/>
  <c r="P8"/>
  <c r="Q8" s="1"/>
  <c r="D33" i="8"/>
  <c r="O31"/>
  <c r="F30" i="7"/>
  <c r="M30"/>
  <c r="O29" i="1"/>
  <c r="N29"/>
  <c r="M29"/>
  <c r="F29"/>
  <c r="P29" s="1"/>
  <c r="Q29" s="1"/>
  <c r="R29" s="1"/>
  <c r="F11" i="8"/>
  <c r="P11" s="1"/>
  <c r="Q11" s="1"/>
  <c r="R11" s="1"/>
  <c r="F12" i="7"/>
  <c r="N19" i="11"/>
  <c r="M19"/>
  <c r="P19" s="1"/>
  <c r="Q19" s="1"/>
  <c r="R19" s="1"/>
  <c r="O21" i="10"/>
  <c r="N21"/>
  <c r="N31" i="8"/>
  <c r="M31"/>
  <c r="I28" i="6"/>
  <c r="N27"/>
  <c r="M27"/>
  <c r="N33" i="1"/>
  <c r="M33"/>
  <c r="M8" i="11"/>
  <c r="O16" i="9"/>
  <c r="N16"/>
  <c r="F8" i="10"/>
  <c r="F8" i="9"/>
  <c r="F8" i="8"/>
  <c r="F8" i="7"/>
  <c r="F8" i="6"/>
  <c r="F8" i="1"/>
  <c r="M27" i="7"/>
  <c r="O18" i="10"/>
  <c r="N18"/>
  <c r="M18"/>
  <c r="O18" i="9"/>
  <c r="N18"/>
  <c r="O29" i="8"/>
  <c r="N29"/>
  <c r="M29"/>
  <c r="O22"/>
  <c r="N22"/>
  <c r="O28" i="7"/>
  <c r="N28"/>
  <c r="M28"/>
  <c r="O27"/>
  <c r="N27"/>
  <c r="O20"/>
  <c r="N20"/>
  <c r="M20"/>
  <c r="O30" i="1"/>
  <c r="N30"/>
  <c r="M30"/>
  <c r="O25"/>
  <c r="N25"/>
  <c r="M25"/>
  <c r="P25" s="1"/>
  <c r="D22" i="10"/>
  <c r="G35" i="1"/>
  <c r="E35"/>
  <c r="J35"/>
  <c r="F31" i="8"/>
  <c r="P31" s="1"/>
  <c r="M9" i="7"/>
  <c r="K35" i="1"/>
  <c r="P31"/>
  <c r="Q31" s="1"/>
  <c r="R31" s="1"/>
  <c r="P30"/>
  <c r="Q30" s="1"/>
  <c r="R30" s="1"/>
  <c r="G28" i="6"/>
  <c r="R11" i="10" l="1"/>
  <c r="Q20" i="16"/>
  <c r="R16"/>
  <c r="R20" s="1"/>
  <c r="Q12"/>
  <c r="R8"/>
  <c r="R12" s="1"/>
  <c r="P12"/>
  <c r="P20"/>
  <c r="P28" i="8"/>
  <c r="O44" i="15"/>
  <c r="N44"/>
  <c r="P44"/>
  <c r="Q44" s="1"/>
  <c r="R44" s="1"/>
  <c r="G52"/>
  <c r="H52"/>
  <c r="I52"/>
  <c r="J52"/>
  <c r="K52"/>
  <c r="L52"/>
  <c r="F48"/>
  <c r="M46"/>
  <c r="M52" s="1"/>
  <c r="N46"/>
  <c r="N52" s="1"/>
  <c r="O46"/>
  <c r="O52" s="1"/>
  <c r="P46"/>
  <c r="Q46" s="1"/>
  <c r="R46" s="1"/>
  <c r="F46"/>
  <c r="F45"/>
  <c r="F52" s="1"/>
  <c r="I33" i="7"/>
  <c r="J33" i="8"/>
  <c r="K33"/>
  <c r="L33"/>
  <c r="I66" i="15"/>
  <c r="H66"/>
  <c r="G66"/>
  <c r="E66"/>
  <c r="D66"/>
  <c r="O64"/>
  <c r="N64"/>
  <c r="M64"/>
  <c r="F64"/>
  <c r="O61"/>
  <c r="N61"/>
  <c r="M61"/>
  <c r="F61"/>
  <c r="P61" s="1"/>
  <c r="Q61" s="1"/>
  <c r="R61" s="1"/>
  <c r="F60"/>
  <c r="P60" s="1"/>
  <c r="Q60" s="1"/>
  <c r="R60" s="1"/>
  <c r="F59"/>
  <c r="P59" s="1"/>
  <c r="Q59" s="1"/>
  <c r="R59" s="1"/>
  <c r="F58"/>
  <c r="P58" s="1"/>
  <c r="Q58" s="1"/>
  <c r="R58" s="1"/>
  <c r="F57"/>
  <c r="P57" s="1"/>
  <c r="Q57" s="1"/>
  <c r="R57" s="1"/>
  <c r="O56"/>
  <c r="N56"/>
  <c r="M56"/>
  <c r="F56"/>
  <c r="P56" s="1"/>
  <c r="Q56" s="1"/>
  <c r="R56" s="1"/>
  <c r="O55"/>
  <c r="N55"/>
  <c r="M55"/>
  <c r="F55"/>
  <c r="P55" s="1"/>
  <c r="Q55" s="1"/>
  <c r="R55" s="1"/>
  <c r="O54"/>
  <c r="N54"/>
  <c r="M54"/>
  <c r="F54"/>
  <c r="P54" s="1"/>
  <c r="Q54" s="1"/>
  <c r="R54" s="1"/>
  <c r="O53"/>
  <c r="N53"/>
  <c r="M53"/>
  <c r="F51"/>
  <c r="P51" s="1"/>
  <c r="Q51" s="1"/>
  <c r="R51" s="1"/>
  <c r="O50"/>
  <c r="N50"/>
  <c r="M50"/>
  <c r="F50"/>
  <c r="P50" s="1"/>
  <c r="Q50" s="1"/>
  <c r="R50" s="1"/>
  <c r="O49"/>
  <c r="N49"/>
  <c r="M49"/>
  <c r="F49"/>
  <c r="P49" s="1"/>
  <c r="Q49" s="1"/>
  <c r="R49" s="1"/>
  <c r="O48"/>
  <c r="N48"/>
  <c r="M48"/>
  <c r="P48"/>
  <c r="Q48" s="1"/>
  <c r="R48" s="1"/>
  <c r="O47"/>
  <c r="N47"/>
  <c r="M47"/>
  <c r="F47"/>
  <c r="P47" s="1"/>
  <c r="Q47" s="1"/>
  <c r="R47" s="1"/>
  <c r="O43"/>
  <c r="N43"/>
  <c r="M43"/>
  <c r="F43"/>
  <c r="P43" s="1"/>
  <c r="Q43" s="1"/>
  <c r="R43" s="1"/>
  <c r="O42"/>
  <c r="N42"/>
  <c r="M42"/>
  <c r="F42"/>
  <c r="P42" s="1"/>
  <c r="Q42" s="1"/>
  <c r="R42" s="1"/>
  <c r="O41"/>
  <c r="N41"/>
  <c r="M41"/>
  <c r="F41"/>
  <c r="P41" s="1"/>
  <c r="Q41" s="1"/>
  <c r="R41" s="1"/>
  <c r="P40"/>
  <c r="Q40" s="1"/>
  <c r="R40" s="1"/>
  <c r="F39"/>
  <c r="P39" s="1"/>
  <c r="Q39" s="1"/>
  <c r="R39" s="1"/>
  <c r="O38"/>
  <c r="N38"/>
  <c r="M38"/>
  <c r="F38"/>
  <c r="P38" s="1"/>
  <c r="Q38" s="1"/>
  <c r="R38" s="1"/>
  <c r="O37"/>
  <c r="N37"/>
  <c r="M37"/>
  <c r="F37"/>
  <c r="P37" s="1"/>
  <c r="Q37" s="1"/>
  <c r="R37" s="1"/>
  <c r="O36"/>
  <c r="N36"/>
  <c r="M36"/>
  <c r="F36"/>
  <c r="P36" s="1"/>
  <c r="Q36" s="1"/>
  <c r="R36" s="1"/>
  <c r="Q35"/>
  <c r="R35" s="1"/>
  <c r="P34"/>
  <c r="Q34" s="1"/>
  <c r="R34" s="1"/>
  <c r="O32"/>
  <c r="N32"/>
  <c r="M32"/>
  <c r="F32"/>
  <c r="P32" s="1"/>
  <c r="Q32" s="1"/>
  <c r="R32" s="1"/>
  <c r="O31"/>
  <c r="N31"/>
  <c r="M31"/>
  <c r="F31"/>
  <c r="P31" s="1"/>
  <c r="Q31" s="1"/>
  <c r="R31" s="1"/>
  <c r="O30"/>
  <c r="N30"/>
  <c r="M30"/>
  <c r="F30"/>
  <c r="P30" s="1"/>
  <c r="Q30" s="1"/>
  <c r="R30" s="1"/>
  <c r="Q26"/>
  <c r="R26" s="1"/>
  <c r="O25"/>
  <c r="N25"/>
  <c r="M25"/>
  <c r="F25"/>
  <c r="P24"/>
  <c r="O24"/>
  <c r="N24"/>
  <c r="P23"/>
  <c r="O23"/>
  <c r="N23"/>
  <c r="Q22"/>
  <c r="R22" s="1"/>
  <c r="O21"/>
  <c r="N21"/>
  <c r="M21"/>
  <c r="F21"/>
  <c r="P21" s="1"/>
  <c r="Q21" s="1"/>
  <c r="R21" s="1"/>
  <c r="P20"/>
  <c r="Q20" s="1"/>
  <c r="R20" s="1"/>
  <c r="P19"/>
  <c r="Q19" s="1"/>
  <c r="R19" s="1"/>
  <c r="O18"/>
  <c r="N18"/>
  <c r="M18"/>
  <c r="F18"/>
  <c r="P18" s="1"/>
  <c r="Q18" s="1"/>
  <c r="R18" s="1"/>
  <c r="P17"/>
  <c r="Q17" s="1"/>
  <c r="R17" s="1"/>
  <c r="O16"/>
  <c r="N16"/>
  <c r="M16"/>
  <c r="F16"/>
  <c r="Q15"/>
  <c r="R15" s="1"/>
  <c r="O14"/>
  <c r="N14"/>
  <c r="M14"/>
  <c r="P14" s="1"/>
  <c r="O13"/>
  <c r="N13"/>
  <c r="M13"/>
  <c r="F13"/>
  <c r="O12"/>
  <c r="N12"/>
  <c r="M12"/>
  <c r="F12"/>
  <c r="N10"/>
  <c r="O10" s="1"/>
  <c r="M10"/>
  <c r="P10" s="1"/>
  <c r="O9"/>
  <c r="N9"/>
  <c r="M9"/>
  <c r="F9"/>
  <c r="O8"/>
  <c r="N8"/>
  <c r="M8"/>
  <c r="F8"/>
  <c r="E22" i="10"/>
  <c r="G22"/>
  <c r="H22"/>
  <c r="I22"/>
  <c r="J22"/>
  <c r="K22"/>
  <c r="L22"/>
  <c r="P39" i="14"/>
  <c r="Q39" s="1"/>
  <c r="R39" s="1"/>
  <c r="P16" i="10"/>
  <c r="Q16" s="1"/>
  <c r="R16" s="1"/>
  <c r="P31" i="14"/>
  <c r="Q31" s="1"/>
  <c r="R31" s="1"/>
  <c r="P15" i="10"/>
  <c r="Q15" s="1"/>
  <c r="R15" s="1"/>
  <c r="O66" i="14"/>
  <c r="N66"/>
  <c r="F66"/>
  <c r="P66" s="1"/>
  <c r="O63"/>
  <c r="N63"/>
  <c r="M63"/>
  <c r="F63"/>
  <c r="O62"/>
  <c r="N62"/>
  <c r="M62"/>
  <c r="F62"/>
  <c r="O59"/>
  <c r="N59"/>
  <c r="M59"/>
  <c r="F59"/>
  <c r="O58"/>
  <c r="N58"/>
  <c r="M58"/>
  <c r="F58"/>
  <c r="O57"/>
  <c r="N57"/>
  <c r="M57"/>
  <c r="F57"/>
  <c r="O56"/>
  <c r="N56"/>
  <c r="M56"/>
  <c r="F56"/>
  <c r="O55"/>
  <c r="N55"/>
  <c r="M55"/>
  <c r="F55"/>
  <c r="O54"/>
  <c r="N54"/>
  <c r="M54"/>
  <c r="F54"/>
  <c r="O53"/>
  <c r="N53"/>
  <c r="M53"/>
  <c r="F53"/>
  <c r="O52"/>
  <c r="N52"/>
  <c r="M52"/>
  <c r="F52"/>
  <c r="O51"/>
  <c r="N51"/>
  <c r="M51"/>
  <c r="F51"/>
  <c r="O50"/>
  <c r="N50"/>
  <c r="M50"/>
  <c r="F50"/>
  <c r="O49"/>
  <c r="O60" s="1"/>
  <c r="N49"/>
  <c r="N60" s="1"/>
  <c r="M49"/>
  <c r="M60" s="1"/>
  <c r="F49"/>
  <c r="F60" s="1"/>
  <c r="O48"/>
  <c r="N48"/>
  <c r="M48"/>
  <c r="R47"/>
  <c r="Q46"/>
  <c r="R46" s="1"/>
  <c r="P45"/>
  <c r="O45"/>
  <c r="N45"/>
  <c r="O43"/>
  <c r="N43"/>
  <c r="M43"/>
  <c r="F43"/>
  <c r="O42"/>
  <c r="N42"/>
  <c r="M42"/>
  <c r="F42"/>
  <c r="O41"/>
  <c r="N41"/>
  <c r="M41"/>
  <c r="F41"/>
  <c r="O40"/>
  <c r="N40"/>
  <c r="M40"/>
  <c r="F40"/>
  <c r="O38"/>
  <c r="N38"/>
  <c r="M38"/>
  <c r="F38"/>
  <c r="O37"/>
  <c r="N37"/>
  <c r="M37"/>
  <c r="F37"/>
  <c r="O36"/>
  <c r="N36"/>
  <c r="M36"/>
  <c r="F36"/>
  <c r="O35"/>
  <c r="N35"/>
  <c r="M35"/>
  <c r="F35"/>
  <c r="O34"/>
  <c r="N34"/>
  <c r="M34"/>
  <c r="F34"/>
  <c r="O33"/>
  <c r="N33"/>
  <c r="M33"/>
  <c r="F33"/>
  <c r="O32"/>
  <c r="N32"/>
  <c r="M32"/>
  <c r="F32"/>
  <c r="O30"/>
  <c r="N30"/>
  <c r="M30"/>
  <c r="F30"/>
  <c r="O29"/>
  <c r="N29"/>
  <c r="M29"/>
  <c r="F29"/>
  <c r="O28"/>
  <c r="N28"/>
  <c r="M28"/>
  <c r="F28"/>
  <c r="O27"/>
  <c r="N27"/>
  <c r="M27"/>
  <c r="F27"/>
  <c r="O26"/>
  <c r="N26"/>
  <c r="M26"/>
  <c r="F26"/>
  <c r="O25"/>
  <c r="N25"/>
  <c r="M25"/>
  <c r="F25"/>
  <c r="O24"/>
  <c r="N24"/>
  <c r="M24"/>
  <c r="F24"/>
  <c r="O23"/>
  <c r="N23"/>
  <c r="M23"/>
  <c r="F23"/>
  <c r="O22"/>
  <c r="N22"/>
  <c r="M22"/>
  <c r="F22"/>
  <c r="O21"/>
  <c r="N21"/>
  <c r="M21"/>
  <c r="F21"/>
  <c r="O20"/>
  <c r="N20"/>
  <c r="M20"/>
  <c r="F20"/>
  <c r="O18"/>
  <c r="N18"/>
  <c r="M18"/>
  <c r="F18"/>
  <c r="O17"/>
  <c r="N17"/>
  <c r="M17"/>
  <c r="F17"/>
  <c r="P17" s="1"/>
  <c r="Q17" s="1"/>
  <c r="R17" s="1"/>
  <c r="P14"/>
  <c r="N14"/>
  <c r="Q13"/>
  <c r="R13" s="1"/>
  <c r="P12"/>
  <c r="Q12" s="1"/>
  <c r="R12" s="1"/>
  <c r="O11"/>
  <c r="N11"/>
  <c r="M11"/>
  <c r="P11" s="1"/>
  <c r="Q11" s="1"/>
  <c r="R11" s="1"/>
  <c r="O10"/>
  <c r="N10"/>
  <c r="M10"/>
  <c r="F10"/>
  <c r="P10" s="1"/>
  <c r="Q10" s="1"/>
  <c r="R10" s="1"/>
  <c r="O9"/>
  <c r="N9"/>
  <c r="M9"/>
  <c r="F9"/>
  <c r="P9" s="1"/>
  <c r="Q9" s="1"/>
  <c r="R9" s="1"/>
  <c r="O8"/>
  <c r="N8"/>
  <c r="M8"/>
  <c r="F8"/>
  <c r="P8" s="1"/>
  <c r="Q8" s="1"/>
  <c r="R8" s="1"/>
  <c r="P29" i="8"/>
  <c r="P15"/>
  <c r="Q15" s="1"/>
  <c r="R15" s="1"/>
  <c r="O12"/>
  <c r="N12"/>
  <c r="M12"/>
  <c r="P12" s="1"/>
  <c r="P30" i="7"/>
  <c r="Q30" s="1"/>
  <c r="R30" s="1"/>
  <c r="O24"/>
  <c r="N24"/>
  <c r="M24"/>
  <c r="F24"/>
  <c r="G33"/>
  <c r="J33"/>
  <c r="K33"/>
  <c r="H33"/>
  <c r="D33"/>
  <c r="E33"/>
  <c r="M53" i="13"/>
  <c r="F53"/>
  <c r="P53" s="1"/>
  <c r="Q53" s="1"/>
  <c r="R53" s="1"/>
  <c r="F51"/>
  <c r="P51" s="1"/>
  <c r="Q51" s="1"/>
  <c r="R51" s="1"/>
  <c r="F50"/>
  <c r="P50" s="1"/>
  <c r="Q50" s="1"/>
  <c r="R50" s="1"/>
  <c r="F49"/>
  <c r="P49" s="1"/>
  <c r="Q49" s="1"/>
  <c r="R49" s="1"/>
  <c r="F48"/>
  <c r="P48" s="1"/>
  <c r="Q48" s="1"/>
  <c r="R48" s="1"/>
  <c r="F47"/>
  <c r="P47" s="1"/>
  <c r="Q47" s="1"/>
  <c r="R47" s="1"/>
  <c r="O46"/>
  <c r="N46"/>
  <c r="M46"/>
  <c r="F46"/>
  <c r="O45"/>
  <c r="N45"/>
  <c r="M45"/>
  <c r="F45"/>
  <c r="O44"/>
  <c r="N44"/>
  <c r="M44"/>
  <c r="P44" s="1"/>
  <c r="Q44" s="1"/>
  <c r="R44" s="1"/>
  <c r="O43"/>
  <c r="N43"/>
  <c r="M43"/>
  <c r="P43" s="1"/>
  <c r="F42"/>
  <c r="P42" s="1"/>
  <c r="Q42" s="1"/>
  <c r="R42" s="1"/>
  <c r="F41"/>
  <c r="P41" s="1"/>
  <c r="Q41" s="1"/>
  <c r="R41" s="1"/>
  <c r="O40"/>
  <c r="N40"/>
  <c r="M40"/>
  <c r="F40"/>
  <c r="P40" s="1"/>
  <c r="Q40" s="1"/>
  <c r="R40" s="1"/>
  <c r="P39"/>
  <c r="Q39" s="1"/>
  <c r="R39" s="1"/>
  <c r="F38"/>
  <c r="P38" s="1"/>
  <c r="Q38" s="1"/>
  <c r="R38" s="1"/>
  <c r="O37"/>
  <c r="N37"/>
  <c r="M37"/>
  <c r="F37"/>
  <c r="P37" s="1"/>
  <c r="Q37" s="1"/>
  <c r="R37" s="1"/>
  <c r="P35"/>
  <c r="Q35" s="1"/>
  <c r="R35" s="1"/>
  <c r="O34"/>
  <c r="N34"/>
  <c r="M34"/>
  <c r="F34"/>
  <c r="F33"/>
  <c r="P33" s="1"/>
  <c r="Q33" s="1"/>
  <c r="R33" s="1"/>
  <c r="O32"/>
  <c r="N32"/>
  <c r="M32"/>
  <c r="F32"/>
  <c r="P32" s="1"/>
  <c r="Q32" s="1"/>
  <c r="R32" s="1"/>
  <c r="O31"/>
  <c r="N31"/>
  <c r="M31"/>
  <c r="F31"/>
  <c r="P31" s="1"/>
  <c r="Q31" s="1"/>
  <c r="R31" s="1"/>
  <c r="O29"/>
  <c r="N29"/>
  <c r="M29"/>
  <c r="F29"/>
  <c r="P29" s="1"/>
  <c r="Q29" s="1"/>
  <c r="R29" s="1"/>
  <c r="O28"/>
  <c r="N28"/>
  <c r="M28"/>
  <c r="F28"/>
  <c r="P28" s="1"/>
  <c r="Q28" s="1"/>
  <c r="R28" s="1"/>
  <c r="O27"/>
  <c r="N27"/>
  <c r="M27"/>
  <c r="F27"/>
  <c r="P27" s="1"/>
  <c r="Q27" s="1"/>
  <c r="R27" s="1"/>
  <c r="P26"/>
  <c r="Q26" s="1"/>
  <c r="R26" s="1"/>
  <c r="O24"/>
  <c r="N24"/>
  <c r="M24"/>
  <c r="F24"/>
  <c r="Q22"/>
  <c r="R22" s="1"/>
  <c r="O21"/>
  <c r="N21"/>
  <c r="M21"/>
  <c r="F21"/>
  <c r="P21" s="1"/>
  <c r="Q21" s="1"/>
  <c r="R21" s="1"/>
  <c r="Q20"/>
  <c r="R20" s="1"/>
  <c r="O19"/>
  <c r="N19"/>
  <c r="M19"/>
  <c r="F19"/>
  <c r="Q18"/>
  <c r="R18" s="1"/>
  <c r="O17"/>
  <c r="N17"/>
  <c r="M17"/>
  <c r="F17"/>
  <c r="P17" s="1"/>
  <c r="Q17" s="1"/>
  <c r="R17" s="1"/>
  <c r="O16"/>
  <c r="N16"/>
  <c r="M16"/>
  <c r="F16"/>
  <c r="P16" s="1"/>
  <c r="Q16" s="1"/>
  <c r="R16" s="1"/>
  <c r="Q15"/>
  <c r="R15" s="1"/>
  <c r="Q14"/>
  <c r="R14" s="1"/>
  <c r="O13"/>
  <c r="N13"/>
  <c r="M13"/>
  <c r="F13"/>
  <c r="P13" s="1"/>
  <c r="Q13" s="1"/>
  <c r="R13" s="1"/>
  <c r="O12"/>
  <c r="N12"/>
  <c r="M12"/>
  <c r="F12"/>
  <c r="P12" s="1"/>
  <c r="Q12" s="1"/>
  <c r="R12" s="1"/>
  <c r="Q11"/>
  <c r="R11" s="1"/>
  <c r="O10"/>
  <c r="N10"/>
  <c r="M10"/>
  <c r="F10"/>
  <c r="O9"/>
  <c r="N9"/>
  <c r="M9"/>
  <c r="F9"/>
  <c r="O8"/>
  <c r="O56" s="1"/>
  <c r="N8"/>
  <c r="M8"/>
  <c r="M56" s="1"/>
  <c r="F8"/>
  <c r="K28" i="6"/>
  <c r="L28"/>
  <c r="J28"/>
  <c r="J22" i="9"/>
  <c r="I22"/>
  <c r="H22"/>
  <c r="G22"/>
  <c r="D22"/>
  <c r="E22"/>
  <c r="P16"/>
  <c r="Q16" s="1"/>
  <c r="R16" s="1"/>
  <c r="F10"/>
  <c r="D28" i="6"/>
  <c r="F27"/>
  <c r="P27" s="1"/>
  <c r="Q27" s="1"/>
  <c r="R27" s="1"/>
  <c r="F12"/>
  <c r="P12" s="1"/>
  <c r="Q12" s="1"/>
  <c r="R12" s="1"/>
  <c r="O20"/>
  <c r="N20"/>
  <c r="M20"/>
  <c r="O21"/>
  <c r="N21"/>
  <c r="M21"/>
  <c r="F21"/>
  <c r="P28" i="7"/>
  <c r="E25" i="11"/>
  <c r="D25"/>
  <c r="H25"/>
  <c r="I25"/>
  <c r="G25"/>
  <c r="K25"/>
  <c r="J25"/>
  <c r="K13" i="16" l="1"/>
  <c r="L13"/>
  <c r="J13"/>
  <c r="P18" i="14"/>
  <c r="Q18" s="1"/>
  <c r="R18" s="1"/>
  <c r="P20"/>
  <c r="Q20" s="1"/>
  <c r="R20" s="1"/>
  <c r="P21"/>
  <c r="Q21" s="1"/>
  <c r="R21" s="1"/>
  <c r="P22"/>
  <c r="Q22" s="1"/>
  <c r="R22" s="1"/>
  <c r="P23"/>
  <c r="Q23" s="1"/>
  <c r="R23" s="1"/>
  <c r="P24"/>
  <c r="Q24" s="1"/>
  <c r="R24" s="1"/>
  <c r="P25"/>
  <c r="Q25" s="1"/>
  <c r="R25" s="1"/>
  <c r="P26"/>
  <c r="Q26" s="1"/>
  <c r="R26" s="1"/>
  <c r="P27"/>
  <c r="Q27" s="1"/>
  <c r="R27" s="1"/>
  <c r="P28"/>
  <c r="Q28" s="1"/>
  <c r="R28" s="1"/>
  <c r="P29"/>
  <c r="Q29" s="1"/>
  <c r="R29" s="1"/>
  <c r="P30"/>
  <c r="Q30" s="1"/>
  <c r="R30" s="1"/>
  <c r="P32"/>
  <c r="Q32" s="1"/>
  <c r="R32" s="1"/>
  <c r="P33"/>
  <c r="Q33" s="1"/>
  <c r="R33" s="1"/>
  <c r="P34"/>
  <c r="Q34" s="1"/>
  <c r="R34" s="1"/>
  <c r="P35"/>
  <c r="Q35" s="1"/>
  <c r="R35" s="1"/>
  <c r="P36"/>
  <c r="Q36" s="1"/>
  <c r="R36" s="1"/>
  <c r="P37"/>
  <c r="Q37" s="1"/>
  <c r="R37" s="1"/>
  <c r="P38"/>
  <c r="Q38" s="1"/>
  <c r="R38" s="1"/>
  <c r="P40"/>
  <c r="Q40" s="1"/>
  <c r="R40" s="1"/>
  <c r="P41"/>
  <c r="Q41" s="1"/>
  <c r="R41" s="1"/>
  <c r="P42"/>
  <c r="Q42" s="1"/>
  <c r="R42" s="1"/>
  <c r="P43"/>
  <c r="Q43" s="1"/>
  <c r="R43" s="1"/>
  <c r="Q45"/>
  <c r="R45" s="1"/>
  <c r="N69"/>
  <c r="P50"/>
  <c r="Q50" s="1"/>
  <c r="R50" s="1"/>
  <c r="P51"/>
  <c r="Q51" s="1"/>
  <c r="R51" s="1"/>
  <c r="P52"/>
  <c r="Q52" s="1"/>
  <c r="R52" s="1"/>
  <c r="P53"/>
  <c r="Q53" s="1"/>
  <c r="R53" s="1"/>
  <c r="P54"/>
  <c r="Q54" s="1"/>
  <c r="R54" s="1"/>
  <c r="P55"/>
  <c r="Q55" s="1"/>
  <c r="R55" s="1"/>
  <c r="P56"/>
  <c r="Q56" s="1"/>
  <c r="R56" s="1"/>
  <c r="P57"/>
  <c r="Q57" s="1"/>
  <c r="R57" s="1"/>
  <c r="P58"/>
  <c r="Q58" s="1"/>
  <c r="R58" s="1"/>
  <c r="P59"/>
  <c r="Q59" s="1"/>
  <c r="R59" s="1"/>
  <c r="P62"/>
  <c r="Q62" s="1"/>
  <c r="R62" s="1"/>
  <c r="P63"/>
  <c r="Q63" s="1"/>
  <c r="R63" s="1"/>
  <c r="P8" i="15"/>
  <c r="Q8" s="1"/>
  <c r="R8" s="1"/>
  <c r="P9"/>
  <c r="Q9" s="1"/>
  <c r="R9" s="1"/>
  <c r="Q10"/>
  <c r="P12"/>
  <c r="Q12" s="1"/>
  <c r="R12" s="1"/>
  <c r="P13"/>
  <c r="Q13" s="1"/>
  <c r="R13" s="1"/>
  <c r="Q14"/>
  <c r="R14" s="1"/>
  <c r="P16"/>
  <c r="Q16" s="1"/>
  <c r="R16" s="1"/>
  <c r="Q23"/>
  <c r="R23" s="1"/>
  <c r="P25"/>
  <c r="Q25" s="1"/>
  <c r="R25" s="1"/>
  <c r="M66"/>
  <c r="P45"/>
  <c r="P8" i="13"/>
  <c r="Q8" s="1"/>
  <c r="R8" s="1"/>
  <c r="N56"/>
  <c r="P9"/>
  <c r="Q9" s="1"/>
  <c r="R9" s="1"/>
  <c r="P10"/>
  <c r="Q10" s="1"/>
  <c r="R10" s="1"/>
  <c r="P19"/>
  <c r="Q19" s="1"/>
  <c r="R19" s="1"/>
  <c r="P24"/>
  <c r="Q24" s="1"/>
  <c r="R24" s="1"/>
  <c r="P34"/>
  <c r="Q34" s="1"/>
  <c r="R34" s="1"/>
  <c r="Q43"/>
  <c r="R43" s="1"/>
  <c r="P45"/>
  <c r="Q45" s="1"/>
  <c r="R45" s="1"/>
  <c r="P46"/>
  <c r="Q46" s="1"/>
  <c r="R46" s="1"/>
  <c r="Q14" i="14"/>
  <c r="R14" s="1"/>
  <c r="M69"/>
  <c r="O69"/>
  <c r="Q24" i="15"/>
  <c r="R24" s="1"/>
  <c r="N66"/>
  <c r="F66"/>
  <c r="K18" i="12"/>
  <c r="L18"/>
  <c r="J18"/>
  <c r="Q29" i="8"/>
  <c r="R29" s="1"/>
  <c r="Q28"/>
  <c r="R28" s="1"/>
  <c r="P18" i="10"/>
  <c r="Q18" s="1"/>
  <c r="R18" s="1"/>
  <c r="Q12" i="8"/>
  <c r="R12" s="1"/>
  <c r="R10" i="15"/>
  <c r="O66"/>
  <c r="P64"/>
  <c r="P53"/>
  <c r="Q53" s="1"/>
  <c r="R53" s="1"/>
  <c r="Q66" i="14"/>
  <c r="P49"/>
  <c r="F69"/>
  <c r="P48"/>
  <c r="Q48" s="1"/>
  <c r="R48" s="1"/>
  <c r="F56" i="13"/>
  <c r="P56" s="1"/>
  <c r="Q56" s="1"/>
  <c r="R56" s="1"/>
  <c r="Q28" i="7"/>
  <c r="R28" s="1"/>
  <c r="H33" i="8"/>
  <c r="I33"/>
  <c r="G33"/>
  <c r="G13" i="16" s="1"/>
  <c r="E33" i="8"/>
  <c r="H28" i="6"/>
  <c r="E28"/>
  <c r="E13" i="16" s="1"/>
  <c r="P21" i="6"/>
  <c r="Q21" s="1"/>
  <c r="Q26"/>
  <c r="R26"/>
  <c r="P26"/>
  <c r="F26"/>
  <c r="D35" i="1"/>
  <c r="D13" i="16" s="1"/>
  <c r="H35" i="1"/>
  <c r="I35"/>
  <c r="F33"/>
  <c r="P33" s="1"/>
  <c r="Q33" s="1"/>
  <c r="R33" s="1"/>
  <c r="M28"/>
  <c r="O24"/>
  <c r="N24"/>
  <c r="M24"/>
  <c r="I13" i="16" l="1"/>
  <c r="H13"/>
  <c r="Q45" i="15"/>
  <c r="P52"/>
  <c r="I18" i="12"/>
  <c r="H18"/>
  <c r="E18"/>
  <c r="Q64" i="15"/>
  <c r="P66"/>
  <c r="P60" i="14"/>
  <c r="Q49"/>
  <c r="P69"/>
  <c r="Q69"/>
  <c r="R66"/>
  <c r="R69" s="1"/>
  <c r="O28" i="1"/>
  <c r="N28"/>
  <c r="Q25"/>
  <c r="F24"/>
  <c r="R45" i="15" l="1"/>
  <c r="R52" s="1"/>
  <c r="Q52"/>
  <c r="R25" i="1"/>
  <c r="Q66" i="15"/>
  <c r="R64"/>
  <c r="R66" s="1"/>
  <c r="Q60" i="14"/>
  <c r="R49"/>
  <c r="R60" s="1"/>
  <c r="F33" i="5"/>
  <c r="D33"/>
  <c r="N23" s="1"/>
  <c r="M23"/>
  <c r="Q20"/>
  <c r="L16"/>
  <c r="L22" s="1"/>
  <c r="K16"/>
  <c r="J16"/>
  <c r="R15"/>
  <c r="Q15"/>
  <c r="P15"/>
  <c r="O15"/>
  <c r="N15"/>
  <c r="M15"/>
  <c r="L15"/>
  <c r="K15"/>
  <c r="J15"/>
  <c r="I15"/>
  <c r="H15"/>
  <c r="G15"/>
  <c r="F15"/>
  <c r="E15"/>
  <c r="D15"/>
  <c r="R14"/>
  <c r="Q14"/>
  <c r="P14"/>
  <c r="O14"/>
  <c r="N14"/>
  <c r="M14"/>
  <c r="L14"/>
  <c r="K14"/>
  <c r="J14"/>
  <c r="I14"/>
  <c r="H14"/>
  <c r="G14"/>
  <c r="F14"/>
  <c r="E14"/>
  <c r="D14"/>
  <c r="R13"/>
  <c r="Q13"/>
  <c r="P13"/>
  <c r="O13"/>
  <c r="N13"/>
  <c r="M13"/>
  <c r="L13"/>
  <c r="K13"/>
  <c r="J13"/>
  <c r="I13"/>
  <c r="H13"/>
  <c r="G13"/>
  <c r="F13"/>
  <c r="E13"/>
  <c r="D13"/>
  <c r="R12"/>
  <c r="Q12"/>
  <c r="P12"/>
  <c r="O12"/>
  <c r="N12"/>
  <c r="M12"/>
  <c r="L12"/>
  <c r="K12"/>
  <c r="J12"/>
  <c r="I12"/>
  <c r="H12"/>
  <c r="G12"/>
  <c r="F12"/>
  <c r="E12"/>
  <c r="D12"/>
  <c r="R11"/>
  <c r="Q11"/>
  <c r="P11"/>
  <c r="O11"/>
  <c r="N11"/>
  <c r="M11"/>
  <c r="L11"/>
  <c r="K11"/>
  <c r="J11"/>
  <c r="I11"/>
  <c r="H11"/>
  <c r="G11"/>
  <c r="F11"/>
  <c r="E11"/>
  <c r="D11"/>
  <c r="R10"/>
  <c r="Q10"/>
  <c r="P10"/>
  <c r="O10"/>
  <c r="N10"/>
  <c r="M10"/>
  <c r="L10"/>
  <c r="K10"/>
  <c r="J10"/>
  <c r="I10"/>
  <c r="H10"/>
  <c r="G10"/>
  <c r="F10"/>
  <c r="E10"/>
  <c r="D10"/>
  <c r="R9"/>
  <c r="Q9"/>
  <c r="P9"/>
  <c r="O9"/>
  <c r="N9"/>
  <c r="M9"/>
  <c r="L9"/>
  <c r="K9"/>
  <c r="J9"/>
  <c r="I9"/>
  <c r="H9"/>
  <c r="G9"/>
  <c r="F9"/>
  <c r="E9"/>
  <c r="E16" s="1"/>
  <c r="D9"/>
  <c r="L8"/>
  <c r="K8"/>
  <c r="I8"/>
  <c r="I16" s="1"/>
  <c r="H8"/>
  <c r="G8"/>
  <c r="G16" s="1"/>
  <c r="D8"/>
  <c r="F33" i="3"/>
  <c r="D33"/>
  <c r="M23"/>
  <c r="Q20"/>
  <c r="L16"/>
  <c r="K16"/>
  <c r="J16"/>
  <c r="R15"/>
  <c r="Q15"/>
  <c r="P15"/>
  <c r="O15"/>
  <c r="N15"/>
  <c r="M15"/>
  <c r="L15"/>
  <c r="K15"/>
  <c r="J15"/>
  <c r="I15"/>
  <c r="H15"/>
  <c r="G15"/>
  <c r="F15"/>
  <c r="E15"/>
  <c r="D15"/>
  <c r="R14"/>
  <c r="Q14"/>
  <c r="P14"/>
  <c r="O14"/>
  <c r="N14"/>
  <c r="M14"/>
  <c r="L14"/>
  <c r="K14"/>
  <c r="J14"/>
  <c r="I14"/>
  <c r="H14"/>
  <c r="G14"/>
  <c r="F14"/>
  <c r="E14"/>
  <c r="D14"/>
  <c r="R13"/>
  <c r="Q13"/>
  <c r="P13"/>
  <c r="O13"/>
  <c r="N13"/>
  <c r="M13"/>
  <c r="L13"/>
  <c r="K13"/>
  <c r="J13"/>
  <c r="I13"/>
  <c r="H13"/>
  <c r="G13"/>
  <c r="F13"/>
  <c r="E13"/>
  <c r="D13"/>
  <c r="R12"/>
  <c r="Q12"/>
  <c r="P12"/>
  <c r="O12"/>
  <c r="N12"/>
  <c r="M12"/>
  <c r="L12"/>
  <c r="K12"/>
  <c r="J12"/>
  <c r="I12"/>
  <c r="H12"/>
  <c r="G12"/>
  <c r="F12"/>
  <c r="E12"/>
  <c r="D12"/>
  <c r="R11"/>
  <c r="Q11"/>
  <c r="P11"/>
  <c r="O11"/>
  <c r="N11"/>
  <c r="M11"/>
  <c r="L11"/>
  <c r="K11"/>
  <c r="J11"/>
  <c r="I11"/>
  <c r="H11"/>
  <c r="G11"/>
  <c r="F11"/>
  <c r="E11"/>
  <c r="D11"/>
  <c r="R10"/>
  <c r="Q10"/>
  <c r="P10"/>
  <c r="O10"/>
  <c r="N10"/>
  <c r="M10"/>
  <c r="L10"/>
  <c r="K10"/>
  <c r="J10"/>
  <c r="I10"/>
  <c r="H10"/>
  <c r="G10"/>
  <c r="F10"/>
  <c r="E10"/>
  <c r="D10"/>
  <c r="R9"/>
  <c r="Q9"/>
  <c r="P9"/>
  <c r="O9"/>
  <c r="N9"/>
  <c r="M9"/>
  <c r="L9"/>
  <c r="K9"/>
  <c r="J9"/>
  <c r="I9"/>
  <c r="H9"/>
  <c r="G9"/>
  <c r="F9"/>
  <c r="E9"/>
  <c r="E16" s="1"/>
  <c r="D9"/>
  <c r="L8"/>
  <c r="K8"/>
  <c r="I8"/>
  <c r="H8"/>
  <c r="H16" s="1"/>
  <c r="G8"/>
  <c r="G16" s="1"/>
  <c r="D8"/>
  <c r="D16" s="1"/>
  <c r="Q22" i="12"/>
  <c r="P22"/>
  <c r="P24" s="1"/>
  <c r="N23" i="3" l="1"/>
  <c r="D34"/>
  <c r="D34" i="5"/>
  <c r="R22" i="12"/>
  <c r="R24" s="1"/>
  <c r="Q24"/>
  <c r="H16" i="5"/>
  <c r="D16"/>
  <c r="I16" i="3"/>
  <c r="O17" i="12" l="1"/>
  <c r="N17"/>
  <c r="M17"/>
  <c r="G17"/>
  <c r="G18" s="1"/>
  <c r="D17"/>
  <c r="D18" s="1"/>
  <c r="P8"/>
  <c r="P17" s="1"/>
  <c r="O16" i="11"/>
  <c r="N16"/>
  <c r="M16"/>
  <c r="F16"/>
  <c r="F13"/>
  <c r="F12"/>
  <c r="P12" s="1"/>
  <c r="O11"/>
  <c r="N11"/>
  <c r="M11"/>
  <c r="F11"/>
  <c r="P10"/>
  <c r="O9"/>
  <c r="O25" s="1"/>
  <c r="N9"/>
  <c r="N25" s="1"/>
  <c r="M9"/>
  <c r="F9"/>
  <c r="F25" s="1"/>
  <c r="P8"/>
  <c r="F21" i="10"/>
  <c r="P21" s="1"/>
  <c r="Q21" s="1"/>
  <c r="R21" s="1"/>
  <c r="O10"/>
  <c r="N10"/>
  <c r="M10"/>
  <c r="F10"/>
  <c r="O9"/>
  <c r="N9"/>
  <c r="M9"/>
  <c r="F9"/>
  <c r="F22" s="1"/>
  <c r="O8"/>
  <c r="O22" s="1"/>
  <c r="N8"/>
  <c r="N22" s="1"/>
  <c r="M8"/>
  <c r="M22" s="1"/>
  <c r="O20" i="9"/>
  <c r="N20"/>
  <c r="M20"/>
  <c r="F20"/>
  <c r="O19"/>
  <c r="N19"/>
  <c r="M19"/>
  <c r="F19"/>
  <c r="F18"/>
  <c r="O15"/>
  <c r="N15"/>
  <c r="M15"/>
  <c r="F15"/>
  <c r="F14"/>
  <c r="O13"/>
  <c r="N13"/>
  <c r="M13"/>
  <c r="F13"/>
  <c r="F12"/>
  <c r="F11"/>
  <c r="F22" s="1"/>
  <c r="O10"/>
  <c r="N10"/>
  <c r="M10"/>
  <c r="P10" s="1"/>
  <c r="O8"/>
  <c r="O22" s="1"/>
  <c r="N8"/>
  <c r="M8"/>
  <c r="M22" s="1"/>
  <c r="Q31" i="8"/>
  <c r="R31" s="1"/>
  <c r="O27"/>
  <c r="N27"/>
  <c r="M27"/>
  <c r="F27"/>
  <c r="O26"/>
  <c r="N26"/>
  <c r="M26"/>
  <c r="F26"/>
  <c r="F25"/>
  <c r="O24"/>
  <c r="N24"/>
  <c r="M24"/>
  <c r="F24"/>
  <c r="O23"/>
  <c r="N23"/>
  <c r="M23"/>
  <c r="F23"/>
  <c r="M22"/>
  <c r="F22"/>
  <c r="O20"/>
  <c r="N20"/>
  <c r="M20"/>
  <c r="F20"/>
  <c r="O17"/>
  <c r="N17"/>
  <c r="M17"/>
  <c r="F17"/>
  <c r="O16"/>
  <c r="N16"/>
  <c r="M16"/>
  <c r="F16"/>
  <c r="O14"/>
  <c r="N14"/>
  <c r="M14"/>
  <c r="F14"/>
  <c r="O13"/>
  <c r="N13"/>
  <c r="M13"/>
  <c r="F13"/>
  <c r="N10"/>
  <c r="M10"/>
  <c r="O9"/>
  <c r="N9"/>
  <c r="M9"/>
  <c r="F9"/>
  <c r="O8"/>
  <c r="N8"/>
  <c r="M8"/>
  <c r="P27" i="7"/>
  <c r="O26"/>
  <c r="N26"/>
  <c r="M26"/>
  <c r="F26"/>
  <c r="P24"/>
  <c r="O22"/>
  <c r="N22"/>
  <c r="M22"/>
  <c r="F22"/>
  <c r="O21"/>
  <c r="N21"/>
  <c r="M21"/>
  <c r="F21"/>
  <c r="F20"/>
  <c r="O18"/>
  <c r="N18"/>
  <c r="M18"/>
  <c r="F18"/>
  <c r="O16"/>
  <c r="N16"/>
  <c r="M16"/>
  <c r="F16"/>
  <c r="O15"/>
  <c r="N15"/>
  <c r="M15"/>
  <c r="F15"/>
  <c r="O14"/>
  <c r="N14"/>
  <c r="M14"/>
  <c r="F14"/>
  <c r="O13"/>
  <c r="N13"/>
  <c r="M13"/>
  <c r="F13"/>
  <c r="O12"/>
  <c r="N12"/>
  <c r="M12"/>
  <c r="O11"/>
  <c r="N11"/>
  <c r="M11"/>
  <c r="F11"/>
  <c r="O10"/>
  <c r="N10"/>
  <c r="M10"/>
  <c r="F10"/>
  <c r="O9"/>
  <c r="N9"/>
  <c r="F9"/>
  <c r="O8"/>
  <c r="N8"/>
  <c r="M8"/>
  <c r="O23" i="6"/>
  <c r="N23"/>
  <c r="M23"/>
  <c r="F23"/>
  <c r="O22"/>
  <c r="N22"/>
  <c r="M22"/>
  <c r="F22"/>
  <c r="F20"/>
  <c r="P20" s="1"/>
  <c r="F19"/>
  <c r="F18"/>
  <c r="P18" s="1"/>
  <c r="F16"/>
  <c r="P16" s="1"/>
  <c r="F14"/>
  <c r="P14" s="1"/>
  <c r="F13"/>
  <c r="P13" s="1"/>
  <c r="Q13" s="1"/>
  <c r="R13" s="1"/>
  <c r="F11"/>
  <c r="P11" s="1"/>
  <c r="F10"/>
  <c r="P10" s="1"/>
  <c r="N9"/>
  <c r="M9"/>
  <c r="M28" s="1"/>
  <c r="F28" l="1"/>
  <c r="N28"/>
  <c r="P22"/>
  <c r="M33" i="7"/>
  <c r="O33"/>
  <c r="M33" i="8"/>
  <c r="N22" i="9"/>
  <c r="P9" i="11"/>
  <c r="Q9" s="1"/>
  <c r="R9" s="1"/>
  <c r="M25"/>
  <c r="P11"/>
  <c r="Q11" s="1"/>
  <c r="R11" s="1"/>
  <c r="P9" i="7"/>
  <c r="F33"/>
  <c r="N33"/>
  <c r="P21"/>
  <c r="P22"/>
  <c r="O9" i="6"/>
  <c r="O28" s="1"/>
  <c r="P8" i="8"/>
  <c r="F33"/>
  <c r="N33"/>
  <c r="P13"/>
  <c r="P22"/>
  <c r="Q22" s="1"/>
  <c r="P9" i="10"/>
  <c r="Q9" s="1"/>
  <c r="R9" s="1"/>
  <c r="P9" i="8"/>
  <c r="P27"/>
  <c r="P18" i="9"/>
  <c r="Q18" s="1"/>
  <c r="P8"/>
  <c r="P13"/>
  <c r="P8" i="6"/>
  <c r="P9"/>
  <c r="Q9" s="1"/>
  <c r="R9" s="1"/>
  <c r="P20" i="7"/>
  <c r="P11"/>
  <c r="Q9"/>
  <c r="R9" s="1"/>
  <c r="P10"/>
  <c r="P12"/>
  <c r="P14"/>
  <c r="P16"/>
  <c r="P13"/>
  <c r="P15"/>
  <c r="P18"/>
  <c r="P16" i="11"/>
  <c r="Q16" s="1"/>
  <c r="R16" s="1"/>
  <c r="P13"/>
  <c r="P25" s="1"/>
  <c r="F28" i="1"/>
  <c r="P28" s="1"/>
  <c r="Q28" s="1"/>
  <c r="R28" s="1"/>
  <c r="F27"/>
  <c r="F26"/>
  <c r="P24"/>
  <c r="F22"/>
  <c r="F21"/>
  <c r="F20"/>
  <c r="F17"/>
  <c r="F16"/>
  <c r="P16" s="1"/>
  <c r="F15"/>
  <c r="O14"/>
  <c r="N14"/>
  <c r="M14"/>
  <c r="F14"/>
  <c r="F13"/>
  <c r="O12"/>
  <c r="N12"/>
  <c r="M12"/>
  <c r="F12"/>
  <c r="P12" s="1"/>
  <c r="Q12" s="1"/>
  <c r="R12" s="1"/>
  <c r="F11"/>
  <c r="M10"/>
  <c r="O9"/>
  <c r="N9"/>
  <c r="M9"/>
  <c r="F9"/>
  <c r="F35" s="1"/>
  <c r="F13" i="16" s="1"/>
  <c r="O8" i="1"/>
  <c r="N8"/>
  <c r="N35" s="1"/>
  <c r="N13" i="16" s="1"/>
  <c r="M8" i="1"/>
  <c r="R20" i="3"/>
  <c r="M35" i="1" l="1"/>
  <c r="O35"/>
  <c r="Q8" i="6"/>
  <c r="R18" i="9"/>
  <c r="Q20" i="7"/>
  <c r="P9" i="1"/>
  <c r="P14"/>
  <c r="Q24"/>
  <c r="F8" i="5"/>
  <c r="F16" s="1"/>
  <c r="F8" i="3"/>
  <c r="F16" s="1"/>
  <c r="F18" i="12"/>
  <c r="J8" i="5"/>
  <c r="J8" i="3"/>
  <c r="M18" i="12" l="1"/>
  <c r="M13" i="16"/>
  <c r="M8" i="5"/>
  <c r="M16" s="1"/>
  <c r="M22" s="1"/>
  <c r="M8" i="3"/>
  <c r="M16" s="1"/>
  <c r="M22" s="1"/>
  <c r="L22" s="1"/>
  <c r="R8" i="6"/>
  <c r="R20" i="7"/>
  <c r="N8" i="3"/>
  <c r="N16" s="1"/>
  <c r="N22" s="1"/>
  <c r="N8" i="5"/>
  <c r="N16" s="1"/>
  <c r="N22" s="1"/>
  <c r="O8"/>
  <c r="O16" s="1"/>
  <c r="O8" i="3"/>
  <c r="O16" s="1"/>
  <c r="R24" i="1"/>
  <c r="N18" i="12"/>
  <c r="R20" i="5" l="1"/>
  <c r="P27" i="1" l="1"/>
  <c r="Q27" s="1"/>
  <c r="R27" s="1"/>
  <c r="P26"/>
  <c r="Q26" s="1"/>
  <c r="R26" s="1"/>
  <c r="P22"/>
  <c r="Q22" s="1"/>
  <c r="R22" s="1"/>
  <c r="P21"/>
  <c r="Q21"/>
  <c r="P20"/>
  <c r="Q20"/>
  <c r="P17"/>
  <c r="Q17"/>
  <c r="Q16"/>
  <c r="P15"/>
  <c r="Q15" s="1"/>
  <c r="Q14"/>
  <c r="P13"/>
  <c r="Q13" s="1"/>
  <c r="R13" s="1"/>
  <c r="P11"/>
  <c r="Q11" s="1"/>
  <c r="R11" s="1"/>
  <c r="P10"/>
  <c r="Q10" s="1"/>
  <c r="R10" s="1"/>
  <c r="Q9"/>
  <c r="P8"/>
  <c r="Q8" s="1"/>
  <c r="R21"/>
  <c r="R20"/>
  <c r="R17"/>
  <c r="R16"/>
  <c r="R14"/>
  <c r="R9"/>
  <c r="R8" l="1"/>
  <c r="Q35"/>
  <c r="P35"/>
  <c r="R15"/>
  <c r="P8" i="5" l="1"/>
  <c r="P16" s="1"/>
  <c r="P17" s="1"/>
  <c r="P19" s="1"/>
  <c r="P21" s="1"/>
  <c r="R35" i="1"/>
  <c r="P8" i="3"/>
  <c r="P16" s="1"/>
  <c r="P17" s="1"/>
  <c r="P19" s="1"/>
  <c r="P21" s="1"/>
  <c r="Q8" i="5"/>
  <c r="Q16" s="1"/>
  <c r="Q8" i="3"/>
  <c r="Q16" s="1"/>
  <c r="R8" i="5" l="1"/>
  <c r="R16" s="1"/>
  <c r="R8" i="3"/>
  <c r="R16" s="1"/>
  <c r="R17" s="1"/>
  <c r="R19" s="1"/>
  <c r="R21" s="1"/>
  <c r="R17" i="5"/>
  <c r="R19" s="1"/>
  <c r="R21" s="1"/>
  <c r="Q17" i="3"/>
  <c r="Q19" s="1"/>
  <c r="Q21" s="1"/>
  <c r="Q17" i="5"/>
  <c r="Q19" s="1"/>
  <c r="Q21" s="1"/>
  <c r="Q20" i="6"/>
  <c r="R20" s="1"/>
  <c r="Q18"/>
  <c r="R18" s="1"/>
  <c r="P19"/>
  <c r="R21"/>
  <c r="Q22"/>
  <c r="P23"/>
  <c r="Q23" s="1"/>
  <c r="R23" s="1"/>
  <c r="R22"/>
  <c r="Q19" l="1"/>
  <c r="P28"/>
  <c r="R19"/>
  <c r="Q8" i="11" l="1"/>
  <c r="Q10"/>
  <c r="R10" s="1"/>
  <c r="Q12"/>
  <c r="R12" s="1"/>
  <c r="Q13"/>
  <c r="R13" s="1"/>
  <c r="Q27" i="7"/>
  <c r="P26"/>
  <c r="Q26" s="1"/>
  <c r="R26" s="1"/>
  <c r="Q24"/>
  <c r="R24" s="1"/>
  <c r="Q22"/>
  <c r="R22" s="1"/>
  <c r="Q21"/>
  <c r="R21" s="1"/>
  <c r="Q18"/>
  <c r="R18" s="1"/>
  <c r="Q16"/>
  <c r="R16" s="1"/>
  <c r="Q15"/>
  <c r="R15" s="1"/>
  <c r="Q14"/>
  <c r="Q13"/>
  <c r="R13" s="1"/>
  <c r="Q12"/>
  <c r="R12" s="1"/>
  <c r="Q11"/>
  <c r="R11" s="1"/>
  <c r="Q10"/>
  <c r="R10" s="1"/>
  <c r="P8"/>
  <c r="R27"/>
  <c r="R14"/>
  <c r="Q10" i="6"/>
  <c r="Q11"/>
  <c r="Q14"/>
  <c r="Q16"/>
  <c r="R10"/>
  <c r="R11"/>
  <c r="R14"/>
  <c r="R16"/>
  <c r="Q25" i="11" l="1"/>
  <c r="R28" i="6"/>
  <c r="Q28"/>
  <c r="R8" i="11"/>
  <c r="R25" s="1"/>
  <c r="Q8" i="7"/>
  <c r="R8" s="1"/>
  <c r="R33" s="1"/>
  <c r="P33"/>
  <c r="P20" i="9"/>
  <c r="Q20" s="1"/>
  <c r="R20" s="1"/>
  <c r="P19"/>
  <c r="Q19" s="1"/>
  <c r="R19" s="1"/>
  <c r="P15"/>
  <c r="Q15" s="1"/>
  <c r="R15" s="1"/>
  <c r="P14"/>
  <c r="Q14" s="1"/>
  <c r="R14" s="1"/>
  <c r="Q13"/>
  <c r="P12"/>
  <c r="Q12" s="1"/>
  <c r="R12" s="1"/>
  <c r="P11"/>
  <c r="P22" s="1"/>
  <c r="Q10"/>
  <c r="Q8"/>
  <c r="R13"/>
  <c r="R10"/>
  <c r="Q13" i="8"/>
  <c r="R13" s="1"/>
  <c r="P16"/>
  <c r="Q16" s="1"/>
  <c r="R16" s="1"/>
  <c r="P14"/>
  <c r="Q14" s="1"/>
  <c r="R14" s="1"/>
  <c r="P17"/>
  <c r="Q17" s="1"/>
  <c r="R17" s="1"/>
  <c r="Q27"/>
  <c r="P26"/>
  <c r="Q26" s="1"/>
  <c r="P25"/>
  <c r="Q25" s="1"/>
  <c r="R25" s="1"/>
  <c r="P24"/>
  <c r="Q24" s="1"/>
  <c r="R24" s="1"/>
  <c r="P23"/>
  <c r="Q23" s="1"/>
  <c r="R23" s="1"/>
  <c r="P20"/>
  <c r="Q20" s="1"/>
  <c r="R20" s="1"/>
  <c r="P10"/>
  <c r="Q9"/>
  <c r="Q8"/>
  <c r="R8" s="1"/>
  <c r="R27"/>
  <c r="R22"/>
  <c r="O10"/>
  <c r="O33" s="1"/>
  <c r="R9"/>
  <c r="P8" i="10"/>
  <c r="P10"/>
  <c r="Q10" s="1"/>
  <c r="R10" s="1"/>
  <c r="Q11" i="9" l="1"/>
  <c r="R11" s="1"/>
  <c r="O18" i="12"/>
  <c r="O13" i="16"/>
  <c r="Q22" i="9"/>
  <c r="R8"/>
  <c r="R22" s="1"/>
  <c r="Q33" i="7"/>
  <c r="Q10" i="8"/>
  <c r="R10" s="1"/>
  <c r="P33"/>
  <c r="Q33"/>
  <c r="P22" i="10"/>
  <c r="Q8"/>
  <c r="R26" i="8"/>
  <c r="P13" i="16" l="1"/>
  <c r="P14" s="1"/>
  <c r="P15" s="1"/>
  <c r="P17" s="1"/>
  <c r="P18" i="12"/>
  <c r="P19" s="1"/>
  <c r="P20" s="1"/>
  <c r="P23" s="1"/>
  <c r="R33" i="8"/>
  <c r="R8" i="10"/>
  <c r="R22" s="1"/>
  <c r="Q22"/>
  <c r="Q13" i="16" s="1"/>
  <c r="Q14" s="1"/>
  <c r="Q15" s="1"/>
  <c r="Q17" s="1"/>
  <c r="Q8" i="12"/>
  <c r="R8"/>
  <c r="R17"/>
  <c r="Q17"/>
  <c r="Q18" l="1"/>
  <c r="Q19" s="1"/>
  <c r="R18"/>
  <c r="R19" s="1"/>
  <c r="R20" s="1"/>
  <c r="R23" s="1"/>
  <c r="R13" i="16"/>
  <c r="R14" s="1"/>
  <c r="R15" s="1"/>
  <c r="R17" s="1"/>
  <c r="Q20" i="12" l="1"/>
  <c r="Q23" s="1"/>
</calcChain>
</file>

<file path=xl/sharedStrings.xml><?xml version="1.0" encoding="utf-8"?>
<sst xmlns="http://schemas.openxmlformats.org/spreadsheetml/2006/main" count="1478" uniqueCount="337">
  <si>
    <t>ที่</t>
  </si>
  <si>
    <t>ชื่อสายงาน</t>
  </si>
  <si>
    <t>ระดับ</t>
  </si>
  <si>
    <t>ตำแหน่ง</t>
  </si>
  <si>
    <t>จำนวน</t>
  </si>
  <si>
    <t>ทั้งหมด</t>
  </si>
  <si>
    <t>ค่าใช้จ่ายรวม</t>
  </si>
  <si>
    <t xml:space="preserve">ภาระค่าใช้จ่ายที่เพิ่มขึ้น </t>
  </si>
  <si>
    <t xml:space="preserve"> -</t>
  </si>
  <si>
    <t>รวม</t>
  </si>
  <si>
    <t>จากการวิเคราะห์การกำหนดอัตรากำลังเพิ่มของพนักงานเทศบาล</t>
  </si>
  <si>
    <t>สำนักปลัดเทศบาล</t>
  </si>
  <si>
    <t>กองคลัง</t>
  </si>
  <si>
    <t>กองช่าง</t>
  </si>
  <si>
    <t>กองสาธารณสุขและสิ่งแวดล้อม</t>
  </si>
  <si>
    <t>กองการศึกษา</t>
  </si>
  <si>
    <t>กองสวัสดิการสังคม</t>
  </si>
  <si>
    <t>หน่วยงานตรวจสอบภายใน</t>
  </si>
  <si>
    <t>ลูกจ้างประจำ</t>
  </si>
  <si>
    <t>อำเภอธัญบุรี  จังหวัดปทุมธานี</t>
  </si>
  <si>
    <t xml:space="preserve"> </t>
  </si>
  <si>
    <t>สรุปภาระค่าใช้จ่ายเกี่ยวกับเงินเดือนและค่าจ้าง</t>
  </si>
  <si>
    <t>เทศบาลเมืองสนั่นรักษ์</t>
  </si>
  <si>
    <t>กองวิชาการและแผนงาน</t>
  </si>
  <si>
    <t>ค่าจ้างพนักงานจ้าง</t>
  </si>
  <si>
    <t>-</t>
  </si>
  <si>
    <t>หน่วยงาน สำนักปลัดเทศบาล  เทศบาลเมืองสนั่นรักษ์</t>
  </si>
  <si>
    <t>หน่วยงาน กองคลัง  เทศบาลเมืองสนั่นรักษ์</t>
  </si>
  <si>
    <t>หน่วยงาน กองช่าง  เทศบาลเมืองสนั่นรักษ์</t>
  </si>
  <si>
    <t>หน่วยงาน กองสาธารณสุขและสิ่งแวดล้อม  เทศบาลเมืองสนั่นรักษ์</t>
  </si>
  <si>
    <t>หน่วยงาน กองวิชาการและแผนงาน  เทศบาลเมืองสนั่นรักษ์</t>
  </si>
  <si>
    <t>หน่วยงาน กองการศึกษา  เทศบาลเมืองสนั่นรักษ์</t>
  </si>
  <si>
    <t>หน่วยงาน กองสวัสดิการสังคม  เทศบาลเมืองสนั่นรักษ์</t>
  </si>
  <si>
    <t>หน่วยงาน ตรวจสอบภายใน  เทศบาลเมืองสนั่นรักษ์</t>
  </si>
  <si>
    <t>1</t>
  </si>
  <si>
    <t xml:space="preserve"> 3-5/ 6ว</t>
  </si>
  <si>
    <t>งบประมาณรายจ่ายประจำปี</t>
  </si>
  <si>
    <t>6ว</t>
  </si>
  <si>
    <t>จำนวนที่มีอยู่ปัจจุบัน</t>
  </si>
  <si>
    <t>อัตราตำแหน่งที่คาดว่า</t>
  </si>
  <si>
    <t>จะต้องใช้ในช่วง 3 ปีข้างหน้า</t>
  </si>
  <si>
    <t>เงินเดือน</t>
  </si>
  <si>
    <t>หมายเหตุ</t>
  </si>
  <si>
    <t>จำนวน(คน)</t>
  </si>
  <si>
    <t>อัตรากำลังคน</t>
  </si>
  <si>
    <t>เพิ่ม/ลด</t>
  </si>
  <si>
    <t>+1</t>
  </si>
  <si>
    <t>การวิเคราะห์ภาระค่าใช้จ่ายเกี่ยวกับเงินเดือนและประโยชน์ตอบแทนอื่น</t>
  </si>
  <si>
    <t>รวมทั้งหมด</t>
  </si>
  <si>
    <t>ประมาณการประโยชน์ตอบแทนอื่น 20%</t>
  </si>
  <si>
    <t xml:space="preserve"> -๓๙-</t>
  </si>
  <si>
    <t xml:space="preserve"> -๔๒-</t>
  </si>
  <si>
    <r>
      <t>หมายเหตุ</t>
    </r>
    <r>
      <rPr>
        <sz val="14"/>
        <rFont val="TH SarabunPSK"/>
        <family val="2"/>
      </rPr>
      <t xml:space="preserve">      ภาระค่าใช้จ่ายเกี่ยวกับเงินเดือนพนักงานเทศบาล  และลูกจ้างประจำ  ได้เพิ่มภาระค่าใช้จ่ายเกี่ยวกับการเลื่อนขั้นเงินเดือนพนักงานประจำปีในคนละ  1 ขั้น  ในแต่ละปีงบประมาณแล้ว</t>
    </r>
  </si>
  <si>
    <t xml:space="preserve"> -๔๕-</t>
  </si>
  <si>
    <t>รวมเป็นค่าใช้จ่ายด้านบุคลากรทั้งสิ้น</t>
  </si>
  <si>
    <t>คิดเป็นร้อยละ  40 ของงบประมาณรายจ่ายประจำปี</t>
  </si>
  <si>
    <t>งบประมาณรายจ่ายประจำปี 2556</t>
  </si>
  <si>
    <t>งบประมาณรายจ่ายประจำปี 2557</t>
  </si>
  <si>
    <t xml:space="preserve">งบประมาณรายจ่ายประจำปี 2555  </t>
  </si>
  <si>
    <t>บาท</t>
  </si>
  <si>
    <t>7ว</t>
  </si>
  <si>
    <t>พนักงานเทศบาล</t>
  </si>
  <si>
    <t>พนักงานจ้างตามภารกิจ</t>
  </si>
  <si>
    <t>พนักงานจ้างทั่วไป</t>
  </si>
  <si>
    <t>พนักงานขับรถยนต์</t>
  </si>
  <si>
    <t>พนักงานขับรถดับเพลิง</t>
  </si>
  <si>
    <t>พนักงานดับเพลิง</t>
  </si>
  <si>
    <t xml:space="preserve"> 6ว</t>
  </si>
  <si>
    <t>พนักงานครูเทศบาล</t>
  </si>
  <si>
    <t>ผู้อำนวยการสถานศึกษา</t>
  </si>
  <si>
    <t>คศ.2</t>
  </si>
  <si>
    <t>ครู</t>
  </si>
  <si>
    <t>คศ.1</t>
  </si>
  <si>
    <t>ครูผู้ช่วย</t>
  </si>
  <si>
    <t>ครูผู้ดูแลเด็ก</t>
  </si>
  <si>
    <t>นักบริหารงานเทศบาล 9</t>
  </si>
  <si>
    <t>นักบริหารงานเทศบาล 8</t>
  </si>
  <si>
    <t>นักบริหารงานเทศบาล 7</t>
  </si>
  <si>
    <t>นักบริหารงานทั่วไป 8</t>
  </si>
  <si>
    <t>นักบริหารงานทั่วไป 7</t>
  </si>
  <si>
    <t>บุคลากร 3-5/6ว</t>
  </si>
  <si>
    <t>เจ้าหน้าที่บริหารงานทะเบียนและบัตร 7ว</t>
  </si>
  <si>
    <t>เจ้าหน้าที่บริหารงานทะเบียนและบัตร 3-5/6ว</t>
  </si>
  <si>
    <t>จพง.ป้องกันและบรรเทาสาธารณภัย 2-4/5</t>
  </si>
  <si>
    <t>นักบริหารงานคลัง 8</t>
  </si>
  <si>
    <t>นักบริหารงานคลัง 7</t>
  </si>
  <si>
    <t>นักวิชาการเงินและบัญชี 3-5/6ว</t>
  </si>
  <si>
    <t>เจ้าพนักงานจัดเก็บรายได้ 2-4/5</t>
  </si>
  <si>
    <t>เจ้าพนักงานธุรการ 2-4/5</t>
  </si>
  <si>
    <t>นักวิชาการคลัง 3-5/6ว</t>
  </si>
  <si>
    <t>นักบริหารงานช่าง 8</t>
  </si>
  <si>
    <t>นักบริหารงานช่าง 7</t>
  </si>
  <si>
    <t>วิศวกรโยธา 3-5/6ว</t>
  </si>
  <si>
    <t>นายช่างโยธา 2-4/5</t>
  </si>
  <si>
    <t>นายช่างโยธา 2-4/5/6ว</t>
  </si>
  <si>
    <t>นักผังเมือง 3-5/6ว</t>
  </si>
  <si>
    <t>นายช่างไฟฟ้า 2-4/5</t>
  </si>
  <si>
    <t>เจ้าหน้าที่บริหารงานทั่วไป 3-5/6ว</t>
  </si>
  <si>
    <t>นักวิชาการสวนสาธารณะ 3-5/6ว</t>
  </si>
  <si>
    <t>นักบริหารงานสาธารณสุข 8</t>
  </si>
  <si>
    <t>นักบริหารงานสาธารณสุข 7</t>
  </si>
  <si>
    <t>นักบริหารงานสาธารณสุข 6</t>
  </si>
  <si>
    <t>พยาบาลวิชาชีพ 3-5/6ว</t>
  </si>
  <si>
    <t>นักวิชาการส่งเสริมสุขภาพ 3-5/6ว</t>
  </si>
  <si>
    <t>นักวิชาการสุขาภิบาล 3-5/6ว</t>
  </si>
  <si>
    <t>นักบริหารงานทั่วไป 6</t>
  </si>
  <si>
    <t>จนท.วิเคราะห์นโยบายและแผน 3-5/6ว</t>
  </si>
  <si>
    <t>นักวิชาการประชาสัมพันธ์ 3-5/6ว</t>
  </si>
  <si>
    <t>นักบริหารการศึกษา 8</t>
  </si>
  <si>
    <t>นักบริหารการศึกษา 7</t>
  </si>
  <si>
    <t>นักบริหารการศึกษา 6</t>
  </si>
  <si>
    <t>นักบริหารงานสวัสดิการสังคม 8</t>
  </si>
  <si>
    <t>นักบริหารงานสวัสดิการสังคม 7</t>
  </si>
  <si>
    <t>นักบริหารงานสวัสดิการสังคม 6</t>
  </si>
  <si>
    <t>นักพัฒนาชุมชน 3-5/6ว</t>
  </si>
  <si>
    <t>เจ้าหน้าที่ตรวจสอบภายใน 3-5/6ว</t>
  </si>
  <si>
    <t>พนักงานพิมพ์ดีด</t>
  </si>
  <si>
    <t>ช่างศิลป์</t>
  </si>
  <si>
    <t>พนักงานขับรถขยะ</t>
  </si>
  <si>
    <t>คนงานประจำรถขยะ</t>
  </si>
  <si>
    <t>ผู้ช่วยบุคลากร</t>
  </si>
  <si>
    <t>ผู้ช่วยเจ้าพนักงานทะเบียน</t>
  </si>
  <si>
    <t>ผู้ช่วยเจ้าหน้าที่ทะเบียน</t>
  </si>
  <si>
    <t>ผู้ช่วยเจ้าหน้าที่ธุรการ</t>
  </si>
  <si>
    <t>ผู้ช่วยเจ้าหน้าที่เทศกิจ</t>
  </si>
  <si>
    <t>ผู้ช่วยนักวิชาการคลัง</t>
  </si>
  <si>
    <t>ผู้ช่วยเจ้าหน้าที่การคลัง</t>
  </si>
  <si>
    <t>ผู้ช่วยเจ้าหน้าที่การเงินและบัญชี</t>
  </si>
  <si>
    <t>ผู้ช่วยเจ้าหน้าที่จัดเก็บรายได้</t>
  </si>
  <si>
    <t>ผู้ช่วยช่างเขียนแบบ</t>
  </si>
  <si>
    <t>ผู้ช่วยช่างสำรวจ</t>
  </si>
  <si>
    <t>ผู้ช่วยช่างศิลป์</t>
  </si>
  <si>
    <t>ช่างไม้</t>
  </si>
  <si>
    <t>ผู้ช่วยช่างโยธา</t>
  </si>
  <si>
    <t>ผู้ช่วยช่างไฟฟ้า</t>
  </si>
  <si>
    <t>พนักงานขับเครื่องจักรขนาดหนัก</t>
  </si>
  <si>
    <t>ผู้ช่วยสัตวแพทย์</t>
  </si>
  <si>
    <t>ผู้ช่วยเจ้าพนักงานธุรการ</t>
  </si>
  <si>
    <t>ผู้ช่วย จพง.ส่งเสริมสุขภาพ</t>
  </si>
  <si>
    <t>ผู้ช่วยพยาบาลวิชาชีพ</t>
  </si>
  <si>
    <t>แม่ครัว</t>
  </si>
  <si>
    <t>พนักงานขับเครื่องจักรกลขนาดกลาง</t>
  </si>
  <si>
    <t>ผู้ช่วยเจ้าหน้าที่วิเคราะห์ฯ</t>
  </si>
  <si>
    <t>ผู้ช่วยนักวิชาการประชาสัมพันธ์</t>
  </si>
  <si>
    <t>ผู้ช่วยครูผู้ดูแลเด็ก</t>
  </si>
  <si>
    <t>บุคลากรสนับสนุนการสอน</t>
  </si>
  <si>
    <t>ผู้ช่วยนักพัฒนาชุมชน</t>
  </si>
  <si>
    <t>คนงานทั่วไป</t>
  </si>
  <si>
    <t>เจ้าหน้าที่สำรวจ</t>
  </si>
  <si>
    <t>นักวิชาการพัสดุ 3-5/6ว</t>
  </si>
  <si>
    <t>สำราญ</t>
  </si>
  <si>
    <t>พัฒนา</t>
  </si>
  <si>
    <t>พร้อมพง</t>
  </si>
  <si>
    <t>พงศกร</t>
  </si>
  <si>
    <t>เนตรชนก</t>
  </si>
  <si>
    <t>นงนุช</t>
  </si>
  <si>
    <t>ยุทธศักดิ์</t>
  </si>
  <si>
    <t>พงษ์ศักดิ์</t>
  </si>
  <si>
    <t>อุบล</t>
  </si>
  <si>
    <t>อ๊อด</t>
  </si>
  <si>
    <t>เมรยา</t>
  </si>
  <si>
    <t>สุมณฑา</t>
  </si>
  <si>
    <t>นริศรา</t>
  </si>
  <si>
    <t>สำริด</t>
  </si>
  <si>
    <t>สังวาล</t>
  </si>
  <si>
    <t>สมเชษฐ</t>
  </si>
  <si>
    <t>ทองเรียน</t>
  </si>
  <si>
    <t>มณฑา</t>
  </si>
  <si>
    <t>นิกร</t>
  </si>
  <si>
    <t>นพรัตน์</t>
  </si>
  <si>
    <t>ภิญญาพัชญ์</t>
  </si>
  <si>
    <t>สุพรรณี</t>
  </si>
  <si>
    <t>ภัทราวุธ</t>
  </si>
  <si>
    <t>นครินทร์</t>
  </si>
  <si>
    <t>มังกร</t>
  </si>
  <si>
    <t xml:space="preserve">ไกร </t>
  </si>
  <si>
    <t>วสัน</t>
  </si>
  <si>
    <t>ธานี</t>
  </si>
  <si>
    <t>พนม</t>
  </si>
  <si>
    <t>ชุมพล</t>
  </si>
  <si>
    <t>สุทิน</t>
  </si>
  <si>
    <t>เชาวลิต</t>
  </si>
  <si>
    <t>สินธุชา</t>
  </si>
  <si>
    <t>สนั่น</t>
  </si>
  <si>
    <t>สมชิต</t>
  </si>
  <si>
    <t>บุญเลิศ</t>
  </si>
  <si>
    <t>วัฒนะ</t>
  </si>
  <si>
    <t>นัยรุ่ง</t>
  </si>
  <si>
    <t>สมศักดิ์</t>
  </si>
  <si>
    <t>พะยม</t>
  </si>
  <si>
    <t>วิศเวศ</t>
  </si>
  <si>
    <t>อารีรัตน์</t>
  </si>
  <si>
    <t>สไบทิพย์</t>
  </si>
  <si>
    <t>จิดาภา</t>
  </si>
  <si>
    <t>กษมา</t>
  </si>
  <si>
    <t>กนิษฐา</t>
  </si>
  <si>
    <t>สายสมร</t>
  </si>
  <si>
    <t>สกุนา</t>
  </si>
  <si>
    <t>ยุทธนา</t>
  </si>
  <si>
    <t>ชิดชนก</t>
  </si>
  <si>
    <t>รังสิตา</t>
  </si>
  <si>
    <t>มัลลิกา</t>
  </si>
  <si>
    <t>ชามาพัชร</t>
  </si>
  <si>
    <t>ทวีศักดิ์</t>
  </si>
  <si>
    <t>ดุสิต</t>
  </si>
  <si>
    <t>กันต์กนิษฐ</t>
  </si>
  <si>
    <t>กาญจนา</t>
  </si>
  <si>
    <t>ธัญชนิต</t>
  </si>
  <si>
    <t>สุกัญญา</t>
  </si>
  <si>
    <t>วาสนา</t>
  </si>
  <si>
    <t>ทัศนีย์</t>
  </si>
  <si>
    <t>ทัศนัย</t>
  </si>
  <si>
    <t>วิยะดา</t>
  </si>
  <si>
    <t>สุภัคศจี</t>
  </si>
  <si>
    <t>นฐวรรษ</t>
  </si>
  <si>
    <t>ประโยชน์ตอบแทนอื่น 20%</t>
  </si>
  <si>
    <t>คิดเป็นร้อยละ</t>
  </si>
  <si>
    <t xml:space="preserve"> 2-4/5</t>
  </si>
  <si>
    <t>จพง.ธุรการ 2-4/5</t>
  </si>
  <si>
    <t>จพง.เทศกิจ 3-5/6ว</t>
  </si>
  <si>
    <t xml:space="preserve"> 3-5/6ว</t>
  </si>
  <si>
    <t>ช่างโยธา 1-3/4</t>
  </si>
  <si>
    <t xml:space="preserve"> 1-3/4</t>
  </si>
  <si>
    <t>ช่างไฟฟ้า 1-3/4</t>
  </si>
  <si>
    <t>ช่างสำรวจ 1-3/4</t>
  </si>
  <si>
    <t>เจ้าหน้าที่ธุรการ 1-3/4</t>
  </si>
  <si>
    <t>พีระยุทธ</t>
  </si>
  <si>
    <t>สมชาย</t>
  </si>
  <si>
    <t>กนกชัย</t>
  </si>
  <si>
    <t>ผู้ช่วยนายช่างโยธา</t>
  </si>
  <si>
    <t>ผู้ช่วยนายช่างไฟฟ้า</t>
  </si>
  <si>
    <t>ผู้ช่วยเจ้าหน้าที่บริหารงานทั่วไป</t>
  </si>
  <si>
    <t>เจ้าพนักงานธุรการ 2-4/5/6</t>
  </si>
  <si>
    <t>นิติกร 3-5/6ว</t>
  </si>
  <si>
    <t>นักวิชาการศึกษา 3-5/6ว</t>
  </si>
  <si>
    <t>เจ้าพนักงานสุขาภิบาล 2-4/5</t>
  </si>
  <si>
    <t>จพง.สาธารณสุขชุมชน 2-4/5</t>
  </si>
  <si>
    <t>จนท.ส่งเสริมสุขภาพ 1-3/4</t>
  </si>
  <si>
    <t>พยาบาลเทคนิค 2-4/5</t>
  </si>
  <si>
    <t>สัตวแพทย์ 2-4/5</t>
  </si>
  <si>
    <t>ผู้ช่วยนักวิชาการสุขาภิบาล</t>
  </si>
  <si>
    <t>ผู้ช่วยนักวิชาการส่งเสริมสุขภาพ</t>
  </si>
  <si>
    <t>ผู้ช่วย จพง.สุขาภิบาล</t>
  </si>
  <si>
    <t>ผู้ช่วยนักวิชาการศึกษา</t>
  </si>
  <si>
    <t>จพง.การเงินและบัญชี 2-4/5</t>
  </si>
  <si>
    <t>เจ้าหน้าที่สันทนาการ 3-5/6ว</t>
  </si>
  <si>
    <t>แผน</t>
  </si>
  <si>
    <t>อภิชาต</t>
  </si>
  <si>
    <t>งบประมาณปี57</t>
  </si>
  <si>
    <t>งบประมาณประมาณการ5%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</si>
  <si>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</si>
  <si>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</si>
  <si>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</si>
  <si>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</si>
  <si>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</si>
  <si>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</si>
  <si>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</si>
  <si>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</si>
  <si>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</si>
  <si>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</si>
  <si>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</si>
  <si>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</si>
  <si>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</si>
  <si>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</si>
  <si>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</si>
  <si>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</si>
  <si>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</si>
  <si>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</si>
  <si>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</si>
  <si>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</si>
  <si>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</si>
  <si>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</si>
  <si>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</si>
  <si>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</si>
  <si>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</si>
  <si>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</si>
  <si>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</si>
  <si>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</si>
  <si>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</si>
  <si>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</si>
  <si>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</si>
  <si>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93</t>
  </si>
  <si>
    <t>94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</si>
  <si>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</si>
  <si>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</si>
  <si>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</si>
  <si>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</si>
  <si>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</si>
  <si>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</si>
  <si>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</si>
  <si>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</si>
  <si>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</si>
  <si>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</si>
  <si>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</si>
  <si>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</si>
  <si>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</si>
  <si>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</si>
  <si>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</si>
  <si>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การวิเคราะห์ภาระค่าใช้จ่ายเกี่ยวกับเงินเดือน ค่าจ้าง ค่าตอบแทน และประโยชน์ตอบแทนอื่น</t>
  </si>
  <si>
    <t xml:space="preserve"> -36-</t>
  </si>
  <si>
    <t xml:space="preserve"> -37-</t>
  </si>
  <si>
    <t xml:space="preserve"> -38-</t>
  </si>
  <si>
    <t xml:space="preserve"> -39-</t>
  </si>
  <si>
    <t xml:space="preserve"> -40-</t>
  </si>
  <si>
    <t xml:space="preserve"> -41-</t>
  </si>
  <si>
    <t xml:space="preserve"> -42-</t>
  </si>
  <si>
    <t xml:space="preserve"> -43-</t>
  </si>
  <si>
    <t xml:space="preserve"> -44-</t>
  </si>
  <si>
    <t xml:space="preserve"> -45-</t>
  </si>
  <si>
    <t>92</t>
  </si>
  <si>
    <t>96</t>
  </si>
  <si>
    <t xml:space="preserve"> -34-</t>
  </si>
  <si>
    <t xml:space="preserve"> -35-</t>
  </si>
  <si>
    <t>รวมเป็นค่าใช้จ่ายบุคคลทั้งสิ้น</t>
  </si>
  <si>
    <t>คิดร้อยละ 40 งบประมาณรายจ่ายประจำปี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</si>
  <si>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</si>
  <si>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</si>
  <si>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</si>
  <si>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</si>
  <si>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</si>
  <si>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</si>
  <si>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</si>
  <si>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</si>
  <si>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</si>
  <si>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</si>
  <si>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</si>
  <si>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</si>
  <si>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</si>
  <si>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</si>
  <si>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</si>
  <si>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</si>
  <si>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</si>
  <si>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</si>
  <si>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</si>
  <si>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</si>
  <si>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69</t>
  </si>
  <si>
    <t>95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</si>
</sst>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\+0"/>
    <numFmt numFmtId="189" formatCode="#,##0.00_ ;\-#,##0.00\ "/>
  </numFmts>
  <fonts count="18">
    <font>
      <sz val="14"/>
      <name val="Cordia New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18"/>
      <name val="TH SarabunPSK"/>
      <family val="2"/>
    </font>
    <font>
      <sz val="14"/>
      <color indexed="9"/>
      <name val="TH SarabunPSK"/>
      <family val="2"/>
    </font>
    <font>
      <u/>
      <sz val="14"/>
      <name val="TH SarabunPSK"/>
      <family val="2"/>
    </font>
    <font>
      <sz val="18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70C0"/>
      <name val="TH SarabunPSK"/>
      <family val="2"/>
    </font>
    <font>
      <b/>
      <sz val="14"/>
      <color rgb="FF0070C0"/>
      <name val="TH SarabunPSK"/>
      <family val="2"/>
    </font>
    <font>
      <b/>
      <i/>
      <sz val="14"/>
      <name val="TH SarabunPSK"/>
      <family val="2"/>
    </font>
    <font>
      <b/>
      <sz val="13"/>
      <name val="TH SarabunPSK"/>
      <family val="2"/>
    </font>
    <font>
      <b/>
      <sz val="14"/>
      <color theme="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3" fontId="4" fillId="0" borderId="10" xfId="1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0" xfId="0" applyNumberFormat="1" applyFont="1"/>
    <xf numFmtId="3" fontId="4" fillId="0" borderId="7" xfId="1" applyNumberFormat="1" applyFont="1" applyBorder="1" applyAlignment="1">
      <alignment horizontal="center"/>
    </xf>
    <xf numFmtId="3" fontId="4" fillId="0" borderId="11" xfId="1" applyNumberFormat="1" applyFont="1" applyBorder="1" applyAlignment="1">
      <alignment horizontal="center"/>
    </xf>
    <xf numFmtId="3" fontId="4" fillId="0" borderId="9" xfId="1" applyNumberFormat="1" applyFont="1" applyBorder="1" applyAlignment="1">
      <alignment horizontal="center"/>
    </xf>
    <xf numFmtId="3" fontId="4" fillId="0" borderId="12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187" fontId="4" fillId="0" borderId="8" xfId="1" applyNumberFormat="1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0" xfId="0" applyFont="1" applyBorder="1"/>
    <xf numFmtId="187" fontId="4" fillId="0" borderId="0" xfId="1" applyNumberFormat="1" applyFont="1" applyBorder="1" applyAlignment="1">
      <alignment horizontal="center"/>
    </xf>
    <xf numFmtId="187" fontId="4" fillId="0" borderId="0" xfId="1" applyNumberFormat="1" applyFont="1" applyBorder="1"/>
    <xf numFmtId="3" fontId="4" fillId="0" borderId="7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8" xfId="0" applyFont="1" applyBorder="1" applyAlignment="1">
      <alignment shrinkToFit="1"/>
    </xf>
    <xf numFmtId="0" fontId="4" fillId="0" borderId="8" xfId="0" applyFont="1" applyBorder="1" applyAlignment="1">
      <alignment horizontal="left" shrinkToFit="1"/>
    </xf>
    <xf numFmtId="3" fontId="4" fillId="0" borderId="4" xfId="0" applyNumberFormat="1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4" fillId="0" borderId="4" xfId="0" applyFont="1" applyBorder="1" applyAlignment="1">
      <alignment shrinkToFit="1"/>
    </xf>
    <xf numFmtId="0" fontId="4" fillId="0" borderId="8" xfId="0" applyFont="1" applyBorder="1" applyAlignment="1">
      <alignment horizontal="center" shrinkToFit="1"/>
    </xf>
    <xf numFmtId="3" fontId="4" fillId="0" borderId="5" xfId="0" applyNumberFormat="1" applyFont="1" applyBorder="1" applyAlignment="1">
      <alignment horizontal="center" shrinkToFit="1"/>
    </xf>
    <xf numFmtId="0" fontId="4" fillId="0" borderId="0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4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/>
    <xf numFmtId="0" fontId="4" fillId="0" borderId="0" xfId="0" applyNumberFormat="1" applyFont="1"/>
    <xf numFmtId="0" fontId="4" fillId="0" borderId="9" xfId="0" applyFont="1" applyBorder="1"/>
    <xf numFmtId="0" fontId="4" fillId="0" borderId="12" xfId="0" applyFont="1" applyBorder="1"/>
    <xf numFmtId="0" fontId="4" fillId="0" borderId="8" xfId="0" applyFont="1" applyBorder="1"/>
    <xf numFmtId="0" fontId="4" fillId="0" borderId="4" xfId="0" applyFont="1" applyBorder="1"/>
    <xf numFmtId="3" fontId="4" fillId="0" borderId="5" xfId="0" applyNumberFormat="1" applyFont="1" applyBorder="1"/>
    <xf numFmtId="0" fontId="4" fillId="0" borderId="1" xfId="0" applyFont="1" applyBorder="1"/>
    <xf numFmtId="0" fontId="6" fillId="0" borderId="1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4" fillId="0" borderId="8" xfId="0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shrinkToFit="1"/>
    </xf>
    <xf numFmtId="3" fontId="4" fillId="0" borderId="4" xfId="0" quotePrefix="1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shrinkToFit="1"/>
    </xf>
    <xf numFmtId="3" fontId="4" fillId="0" borderId="0" xfId="0" quotePrefix="1" applyNumberFormat="1" applyFont="1" applyBorder="1" applyAlignment="1">
      <alignment horizontal="center"/>
    </xf>
    <xf numFmtId="3" fontId="4" fillId="0" borderId="0" xfId="0" applyNumberFormat="1" applyFont="1" applyBorder="1"/>
    <xf numFmtId="0" fontId="4" fillId="0" borderId="5" xfId="0" applyFont="1" applyBorder="1" applyAlignment="1">
      <alignment horizontal="center" shrinkToFit="1"/>
    </xf>
    <xf numFmtId="187" fontId="4" fillId="0" borderId="5" xfId="1" applyNumberFormat="1" applyFont="1" applyBorder="1" applyAlignment="1">
      <alignment horizontal="center" shrinkToFit="1"/>
    </xf>
    <xf numFmtId="3" fontId="4" fillId="0" borderId="8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4" fillId="0" borderId="7" xfId="1" applyNumberFormat="1" applyFont="1" applyFill="1" applyBorder="1" applyAlignment="1">
      <alignment horizontal="center"/>
    </xf>
    <xf numFmtId="3" fontId="4" fillId="0" borderId="11" xfId="1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 shrinkToFit="1"/>
    </xf>
    <xf numFmtId="0" fontId="5" fillId="2" borderId="5" xfId="0" applyNumberFormat="1" applyFont="1" applyFill="1" applyBorder="1" applyAlignment="1">
      <alignment horizontal="center" shrinkToFit="1"/>
    </xf>
    <xf numFmtId="3" fontId="5" fillId="2" borderId="5" xfId="0" applyNumberFormat="1" applyFont="1" applyFill="1" applyBorder="1" applyAlignment="1">
      <alignment shrinkToFit="1"/>
    </xf>
    <xf numFmtId="0" fontId="4" fillId="0" borderId="9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4" fillId="0" borderId="0" xfId="0" applyFont="1" applyAlignment="1">
      <alignment textRotation="180"/>
    </xf>
    <xf numFmtId="3" fontId="4" fillId="0" borderId="7" xfId="0" applyNumberFormat="1" applyFont="1" applyBorder="1" applyAlignment="1">
      <alignment horizontal="center" shrinkToFit="1"/>
    </xf>
    <xf numFmtId="3" fontId="4" fillId="0" borderId="1" xfId="0" applyNumberFormat="1" applyFont="1" applyBorder="1" applyAlignment="1">
      <alignment horizontal="center" shrinkToFit="1"/>
    </xf>
    <xf numFmtId="187" fontId="4" fillId="0" borderId="11" xfId="1" applyNumberFormat="1" applyFont="1" applyBorder="1" applyAlignment="1">
      <alignment horizontal="center" shrinkToFit="1"/>
    </xf>
    <xf numFmtId="3" fontId="4" fillId="0" borderId="6" xfId="0" applyNumberFormat="1" applyFont="1" applyBorder="1" applyAlignment="1">
      <alignment horizontal="center" shrinkToFit="1"/>
    </xf>
    <xf numFmtId="187" fontId="4" fillId="0" borderId="1" xfId="1" applyNumberFormat="1" applyFont="1" applyBorder="1" applyAlignment="1">
      <alignment horizontal="center" shrinkToFit="1"/>
    </xf>
    <xf numFmtId="187" fontId="4" fillId="0" borderId="6" xfId="1" applyNumberFormat="1" applyFont="1" applyBorder="1" applyAlignment="1">
      <alignment horizontal="center" shrinkToFit="1"/>
    </xf>
    <xf numFmtId="187" fontId="4" fillId="0" borderId="2" xfId="1" applyNumberFormat="1" applyFont="1" applyBorder="1" applyAlignment="1">
      <alignment horizontal="center" shrinkToFit="1"/>
    </xf>
    <xf numFmtId="187" fontId="4" fillId="0" borderId="8" xfId="1" applyNumberFormat="1" applyFont="1" applyBorder="1" applyAlignment="1">
      <alignment horizontal="center" shrinkToFit="1"/>
    </xf>
    <xf numFmtId="3" fontId="4" fillId="0" borderId="8" xfId="0" applyNumberFormat="1" applyFont="1" applyBorder="1" applyAlignment="1">
      <alignment horizontal="center" shrinkToFit="1"/>
    </xf>
    <xf numFmtId="187" fontId="4" fillId="0" borderId="0" xfId="1" applyNumberFormat="1" applyFont="1" applyBorder="1" applyAlignment="1">
      <alignment horizontal="center" shrinkToFit="1"/>
    </xf>
    <xf numFmtId="187" fontId="4" fillId="0" borderId="7" xfId="1" applyNumberFormat="1" applyFont="1" applyBorder="1" applyAlignment="1">
      <alignment horizontal="center" shrinkToFit="1"/>
    </xf>
    <xf numFmtId="187" fontId="4" fillId="0" borderId="0" xfId="1" applyNumberFormat="1" applyFont="1" applyBorder="1" applyAlignment="1">
      <alignment shrinkToFit="1"/>
    </xf>
    <xf numFmtId="3" fontId="4" fillId="0" borderId="9" xfId="0" applyNumberFormat="1" applyFont="1" applyBorder="1" applyAlignment="1">
      <alignment horizontal="center" shrinkToFit="1"/>
    </xf>
    <xf numFmtId="187" fontId="4" fillId="0" borderId="4" xfId="1" applyNumberFormat="1" applyFont="1" applyBorder="1" applyAlignment="1">
      <alignment horizontal="center" shrinkToFit="1"/>
    </xf>
    <xf numFmtId="3" fontId="4" fillId="0" borderId="10" xfId="0" applyNumberFormat="1" applyFont="1" applyBorder="1" applyAlignment="1">
      <alignment horizontal="center" shrinkToFit="1"/>
    </xf>
    <xf numFmtId="187" fontId="4" fillId="0" borderId="14" xfId="1" applyNumberFormat="1" applyFont="1" applyBorder="1" applyAlignment="1">
      <alignment horizontal="center" shrinkToFit="1"/>
    </xf>
    <xf numFmtId="2" fontId="5" fillId="0" borderId="5" xfId="1" applyNumberFormat="1" applyFont="1" applyBorder="1" applyAlignment="1">
      <alignment horizontal="center" shrinkToFit="1"/>
    </xf>
    <xf numFmtId="14" fontId="4" fillId="0" borderId="5" xfId="0" applyNumberFormat="1" applyFont="1" applyBorder="1" applyAlignment="1">
      <alignment horizontal="center" shrinkToFit="1"/>
    </xf>
    <xf numFmtId="0" fontId="3" fillId="0" borderId="0" xfId="0" applyFont="1" applyAlignment="1">
      <alignment shrinkToFit="1"/>
    </xf>
    <xf numFmtId="0" fontId="6" fillId="0" borderId="1" xfId="0" applyNumberFormat="1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4" fillId="0" borderId="2" xfId="0" applyFont="1" applyBorder="1" applyAlignment="1">
      <alignment shrinkToFit="1"/>
    </xf>
    <xf numFmtId="0" fontId="6" fillId="0" borderId="8" xfId="0" applyNumberFormat="1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4" fillId="0" borderId="9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0" fontId="4" fillId="0" borderId="4" xfId="0" applyNumberFormat="1" applyFont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7" xfId="0" applyFont="1" applyBorder="1" applyAlignment="1">
      <alignment shrinkToFit="1"/>
    </xf>
    <xf numFmtId="3" fontId="4" fillId="0" borderId="13" xfId="0" applyNumberFormat="1" applyFont="1" applyBorder="1" applyAlignment="1">
      <alignment horizontal="center" shrinkToFit="1"/>
    </xf>
    <xf numFmtId="3" fontId="4" fillId="0" borderId="15" xfId="0" applyNumberFormat="1" applyFont="1" applyBorder="1" applyAlignment="1">
      <alignment shrinkToFit="1"/>
    </xf>
    <xf numFmtId="3" fontId="4" fillId="0" borderId="0" xfId="0" applyNumberFormat="1" applyFont="1" applyAlignment="1">
      <alignment shrinkToFit="1"/>
    </xf>
    <xf numFmtId="0" fontId="4" fillId="0" borderId="13" xfId="0" applyFont="1" applyBorder="1" applyAlignment="1">
      <alignment horizontal="center" shrinkToFit="1"/>
    </xf>
    <xf numFmtId="0" fontId="4" fillId="0" borderId="14" xfId="0" applyFont="1" applyBorder="1" applyAlignment="1">
      <alignment shrinkToFit="1"/>
    </xf>
    <xf numFmtId="14" fontId="4" fillId="0" borderId="0" xfId="0" applyNumberFormat="1" applyFont="1" applyBorder="1" applyAlignment="1">
      <alignment horizontal="center" shrinkToFit="1"/>
    </xf>
    <xf numFmtId="187" fontId="8" fillId="0" borderId="0" xfId="1" applyNumberFormat="1" applyFont="1" applyBorder="1" applyAlignment="1">
      <alignment shrinkToFit="1"/>
    </xf>
    <xf numFmtId="43" fontId="4" fillId="0" borderId="0" xfId="1" applyFont="1" applyBorder="1" applyAlignment="1">
      <alignment horizontal="center" shrinkToFit="1"/>
    </xf>
    <xf numFmtId="43" fontId="8" fillId="0" borderId="0" xfId="1" applyFont="1" applyBorder="1" applyAlignment="1">
      <alignment shrinkToFit="1"/>
    </xf>
    <xf numFmtId="0" fontId="9" fillId="0" borderId="0" xfId="0" applyFont="1" applyBorder="1" applyAlignment="1">
      <alignment shrinkToFit="1"/>
    </xf>
    <xf numFmtId="187" fontId="4" fillId="0" borderId="10" xfId="1" applyNumberFormat="1" applyFont="1" applyBorder="1" applyAlignment="1">
      <alignment horizontal="center" shrinkToFit="1"/>
    </xf>
    <xf numFmtId="187" fontId="4" fillId="0" borderId="9" xfId="1" applyNumberFormat="1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11" xfId="1" quotePrefix="1" applyNumberFormat="1" applyFont="1" applyBorder="1" applyAlignment="1">
      <alignment horizontal="center" shrinkToFit="1"/>
    </xf>
    <xf numFmtId="0" fontId="4" fillId="0" borderId="11" xfId="1" applyNumberFormat="1" applyFont="1" applyBorder="1" applyAlignment="1">
      <alignment horizontal="center" shrinkToFit="1"/>
    </xf>
    <xf numFmtId="0" fontId="4" fillId="0" borderId="5" xfId="1" applyNumberFormat="1" applyFont="1" applyBorder="1" applyAlignment="1">
      <alignment horizontal="center" shrinkToFit="1"/>
    </xf>
    <xf numFmtId="3" fontId="4" fillId="0" borderId="11" xfId="1" applyNumberFormat="1" applyFont="1" applyBorder="1" applyAlignment="1">
      <alignment horizontal="center" shrinkToFit="1"/>
    </xf>
    <xf numFmtId="3" fontId="4" fillId="0" borderId="8" xfId="1" applyNumberFormat="1" applyFont="1" applyBorder="1" applyAlignment="1">
      <alignment horizontal="center" shrinkToFit="1"/>
    </xf>
    <xf numFmtId="3" fontId="4" fillId="0" borderId="4" xfId="1" applyNumberFormat="1" applyFont="1" applyBorder="1" applyAlignment="1">
      <alignment horizontal="center" shrinkToFit="1"/>
    </xf>
    <xf numFmtId="2" fontId="4" fillId="0" borderId="5" xfId="0" applyNumberFormat="1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7" fillId="0" borderId="0" xfId="0" applyFont="1" applyAlignment="1"/>
    <xf numFmtId="0" fontId="7" fillId="0" borderId="0" xfId="0" applyFont="1" applyBorder="1" applyAlignment="1"/>
    <xf numFmtId="0" fontId="4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 shrinkToFi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6" fillId="0" borderId="2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11" fillId="0" borderId="7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3" fontId="11" fillId="0" borderId="8" xfId="1" applyNumberFormat="1" applyFont="1" applyBorder="1" applyAlignment="1">
      <alignment horizontal="center"/>
    </xf>
    <xf numFmtId="3" fontId="11" fillId="0" borderId="0" xfId="1" applyNumberFormat="1" applyFont="1" applyBorder="1" applyAlignment="1">
      <alignment horizontal="center"/>
    </xf>
    <xf numFmtId="0" fontId="11" fillId="0" borderId="8" xfId="0" applyFont="1" applyBorder="1"/>
    <xf numFmtId="0" fontId="11" fillId="0" borderId="0" xfId="0" applyFont="1"/>
    <xf numFmtId="3" fontId="11" fillId="0" borderId="0" xfId="0" applyNumberFormat="1" applyFont="1" applyBorder="1" applyAlignment="1">
      <alignment horizontal="center" shrinkToFit="1"/>
    </xf>
    <xf numFmtId="3" fontId="11" fillId="0" borderId="7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right" shrinkToFit="1"/>
    </xf>
    <xf numFmtId="0" fontId="11" fillId="0" borderId="8" xfId="0" applyFont="1" applyBorder="1" applyAlignment="1">
      <alignment horizontal="center" shrinkToFit="1"/>
    </xf>
    <xf numFmtId="3" fontId="11" fillId="0" borderId="0" xfId="0" applyNumberFormat="1" applyFont="1" applyBorder="1" applyAlignment="1">
      <alignment horizontal="center"/>
    </xf>
    <xf numFmtId="3" fontId="11" fillId="0" borderId="7" xfId="1" applyNumberFormat="1" applyFont="1" applyBorder="1" applyAlignment="1">
      <alignment horizontal="center"/>
    </xf>
    <xf numFmtId="3" fontId="11" fillId="0" borderId="11" xfId="1" applyNumberFormat="1" applyFont="1" applyBorder="1" applyAlignment="1">
      <alignment horizontal="center"/>
    </xf>
    <xf numFmtId="3" fontId="12" fillId="0" borderId="8" xfId="1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center"/>
    </xf>
    <xf numFmtId="3" fontId="11" fillId="0" borderId="8" xfId="0" quotePrefix="1" applyNumberFormat="1" applyFont="1" applyBorder="1" applyAlignment="1">
      <alignment horizontal="center"/>
    </xf>
    <xf numFmtId="0" fontId="12" fillId="0" borderId="8" xfId="0" applyFont="1" applyBorder="1" applyAlignment="1">
      <alignment horizontal="right" shrinkToFit="1"/>
    </xf>
    <xf numFmtId="3" fontId="12" fillId="0" borderId="8" xfId="1" applyNumberFormat="1" applyFont="1" applyBorder="1" applyAlignment="1">
      <alignment horizontal="center" shrinkToFit="1"/>
    </xf>
    <xf numFmtId="3" fontId="4" fillId="3" borderId="8" xfId="1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center"/>
    </xf>
    <xf numFmtId="3" fontId="4" fillId="3" borderId="0" xfId="1" applyNumberFormat="1" applyFont="1" applyFill="1" applyBorder="1" applyAlignment="1">
      <alignment horizontal="center"/>
    </xf>
    <xf numFmtId="3" fontId="4" fillId="3" borderId="7" xfId="1" applyNumberFormat="1" applyFont="1" applyFill="1" applyBorder="1" applyAlignment="1">
      <alignment horizontal="center"/>
    </xf>
    <xf numFmtId="3" fontId="4" fillId="3" borderId="11" xfId="1" applyNumberFormat="1" applyFont="1" applyFill="1" applyBorder="1" applyAlignment="1">
      <alignment horizontal="center"/>
    </xf>
    <xf numFmtId="0" fontId="11" fillId="0" borderId="0" xfId="0" applyFont="1" applyAlignment="1">
      <alignment textRotation="180"/>
    </xf>
    <xf numFmtId="0" fontId="11" fillId="0" borderId="7" xfId="0" quotePrefix="1" applyFont="1" applyBorder="1" applyAlignment="1">
      <alignment horizontal="center"/>
    </xf>
    <xf numFmtId="0" fontId="11" fillId="0" borderId="0" xfId="0" applyFont="1" applyBorder="1"/>
    <xf numFmtId="14" fontId="11" fillId="0" borderId="0" xfId="0" applyNumberFormat="1" applyFont="1" applyBorder="1" applyAlignment="1">
      <alignment horizontal="center"/>
    </xf>
    <xf numFmtId="187" fontId="11" fillId="0" borderId="0" xfId="1" applyNumberFormat="1" applyFont="1" applyBorder="1" applyAlignment="1">
      <alignment horizontal="center"/>
    </xf>
    <xf numFmtId="3" fontId="4" fillId="3" borderId="8" xfId="0" quotePrefix="1" applyNumberFormat="1" applyFont="1" applyFill="1" applyBorder="1" applyAlignment="1">
      <alignment horizontal="center"/>
    </xf>
    <xf numFmtId="187" fontId="4" fillId="0" borderId="5" xfId="1" applyNumberFormat="1" applyFont="1" applyBorder="1" applyAlignment="1">
      <alignment shrinkToFit="1"/>
    </xf>
    <xf numFmtId="0" fontId="4" fillId="0" borderId="5" xfId="0" applyFont="1" applyBorder="1"/>
    <xf numFmtId="188" fontId="4" fillId="0" borderId="8" xfId="0" quotePrefix="1" applyNumberFormat="1" applyFont="1" applyBorder="1" applyAlignment="1">
      <alignment horizontal="center"/>
    </xf>
    <xf numFmtId="188" fontId="4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shrinkToFit="1"/>
    </xf>
    <xf numFmtId="188" fontId="11" fillId="0" borderId="8" xfId="0" quotePrefix="1" applyNumberFormat="1" applyFont="1" applyBorder="1" applyAlignment="1">
      <alignment horizontal="center"/>
    </xf>
    <xf numFmtId="188" fontId="4" fillId="0" borderId="4" xfId="0" applyNumberFormat="1" applyFont="1" applyBorder="1" applyAlignment="1">
      <alignment horizontal="center"/>
    </xf>
    <xf numFmtId="188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 shrinkToFit="1"/>
    </xf>
    <xf numFmtId="3" fontId="13" fillId="0" borderId="8" xfId="1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right" shrinkToFit="1"/>
    </xf>
    <xf numFmtId="0" fontId="13" fillId="0" borderId="0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shrinkToFit="1"/>
    </xf>
    <xf numFmtId="0" fontId="13" fillId="0" borderId="0" xfId="0" applyFont="1" applyBorder="1" applyAlignment="1">
      <alignment horizontal="center" shrinkToFit="1"/>
    </xf>
    <xf numFmtId="3" fontId="13" fillId="0" borderId="0" xfId="1" applyNumberFormat="1" applyFont="1" applyBorder="1" applyAlignment="1">
      <alignment horizontal="center"/>
    </xf>
    <xf numFmtId="3" fontId="13" fillId="0" borderId="11" xfId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shrinkToFit="1"/>
    </xf>
    <xf numFmtId="3" fontId="4" fillId="0" borderId="5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 shrinkToFit="1"/>
    </xf>
    <xf numFmtId="0" fontId="4" fillId="0" borderId="0" xfId="0" applyFont="1" applyFill="1" applyAlignment="1">
      <alignment shrinkToFi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87" fontId="4" fillId="0" borderId="8" xfId="1" applyNumberFormat="1" applyFont="1" applyFill="1" applyBorder="1" applyAlignment="1">
      <alignment horizontal="center"/>
    </xf>
    <xf numFmtId="188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88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 shrinkToFit="1"/>
    </xf>
    <xf numFmtId="3" fontId="4" fillId="0" borderId="8" xfId="1" applyNumberFormat="1" applyFont="1" applyFill="1" applyBorder="1" applyAlignment="1">
      <alignment horizontal="center" shrinkToFit="1"/>
    </xf>
    <xf numFmtId="187" fontId="5" fillId="0" borderId="5" xfId="1" applyNumberFormat="1" applyFont="1" applyBorder="1" applyAlignment="1">
      <alignment shrinkToFit="1"/>
    </xf>
    <xf numFmtId="188" fontId="4" fillId="4" borderId="5" xfId="0" applyNumberFormat="1" applyFont="1" applyFill="1" applyBorder="1" applyAlignment="1">
      <alignment horizontal="center"/>
    </xf>
    <xf numFmtId="188" fontId="11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shrinkToFit="1"/>
    </xf>
    <xf numFmtId="188" fontId="4" fillId="0" borderId="4" xfId="0" quotePrefix="1" applyNumberFormat="1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88" fontId="4" fillId="0" borderId="5" xfId="0" quotePrefix="1" applyNumberFormat="1" applyFont="1" applyBorder="1" applyAlignment="1">
      <alignment horizontal="center"/>
    </xf>
    <xf numFmtId="189" fontId="15" fillId="0" borderId="5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/>
    <xf numFmtId="0" fontId="16" fillId="0" borderId="0" xfId="0" applyFont="1" applyBorder="1" applyAlignment="1">
      <alignment horizontal="left" vertical="center" shrinkToFit="1"/>
    </xf>
    <xf numFmtId="187" fontId="17" fillId="0" borderId="0" xfId="1" applyNumberFormat="1" applyFont="1" applyBorder="1" applyAlignment="1">
      <alignment shrinkToFit="1"/>
    </xf>
    <xf numFmtId="0" fontId="4" fillId="0" borderId="10" xfId="0" applyFont="1" applyBorder="1" applyAlignment="1">
      <alignment horizontal="center" shrinkToFit="1"/>
    </xf>
    <xf numFmtId="187" fontId="4" fillId="0" borderId="0" xfId="1" applyNumberFormat="1" applyFont="1" applyBorder="1" applyAlignment="1">
      <alignment horizontal="center"/>
    </xf>
    <xf numFmtId="1" fontId="4" fillId="0" borderId="8" xfId="0" applyNumberFormat="1" applyFont="1" applyBorder="1" applyAlignment="1">
      <alignment shrinkToFit="1"/>
    </xf>
    <xf numFmtId="3" fontId="4" fillId="0" borderId="10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187" fontId="4" fillId="0" borderId="11" xfId="1" applyNumberFormat="1" applyFont="1" applyBorder="1" applyAlignment="1">
      <alignment horizontal="center"/>
    </xf>
    <xf numFmtId="187" fontId="4" fillId="0" borderId="8" xfId="1" applyNumberFormat="1" applyFont="1" applyBorder="1" applyAlignment="1">
      <alignment horizontal="center"/>
    </xf>
    <xf numFmtId="187" fontId="4" fillId="0" borderId="7" xfId="1" applyNumberFormat="1" applyFont="1" applyBorder="1" applyAlignment="1">
      <alignment horizontal="center"/>
    </xf>
    <xf numFmtId="187" fontId="15" fillId="0" borderId="11" xfId="1" applyNumberFormat="1" applyFont="1" applyBorder="1" applyAlignment="1">
      <alignment horizontal="center"/>
    </xf>
    <xf numFmtId="187" fontId="15" fillId="0" borderId="8" xfId="1" applyNumberFormat="1" applyFont="1" applyBorder="1" applyAlignment="1">
      <alignment horizontal="center"/>
    </xf>
    <xf numFmtId="187" fontId="15" fillId="0" borderId="7" xfId="1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187" fontId="4" fillId="0" borderId="3" xfId="1" applyNumberFormat="1" applyFont="1" applyBorder="1" applyAlignment="1">
      <alignment horizontal="center"/>
    </xf>
    <xf numFmtId="187" fontId="4" fillId="0" borderId="1" xfId="1" applyNumberFormat="1" applyFont="1" applyBorder="1" applyAlignment="1">
      <alignment horizontal="center"/>
    </xf>
    <xf numFmtId="187" fontId="4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187" fontId="4" fillId="0" borderId="5" xfId="1" applyNumberFormat="1" applyFont="1" applyBorder="1" applyAlignment="1">
      <alignment horizontal="center"/>
    </xf>
    <xf numFmtId="187" fontId="15" fillId="0" borderId="5" xfId="1" applyNumberFormat="1" applyFont="1" applyBorder="1" applyAlignment="1">
      <alignment horizontal="center"/>
    </xf>
    <xf numFmtId="0" fontId="9" fillId="0" borderId="0" xfId="0" applyFont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4" fillId="0" borderId="2" xfId="0" applyFont="1" applyBorder="1" applyAlignment="1">
      <alignment horizontal="center" vertical="top" shrinkToFit="1"/>
    </xf>
    <xf numFmtId="0" fontId="4" fillId="0" borderId="6" xfId="0" applyFont="1" applyBorder="1" applyAlignment="1">
      <alignment horizontal="center" vertical="top" shrinkToFit="1"/>
    </xf>
    <xf numFmtId="0" fontId="4" fillId="0" borderId="3" xfId="0" applyFont="1" applyBorder="1" applyAlignment="1">
      <alignment horizontal="center" vertical="top" shrinkToFit="1"/>
    </xf>
    <xf numFmtId="0" fontId="4" fillId="0" borderId="9" xfId="0" applyFont="1" applyBorder="1" applyAlignment="1">
      <alignment horizontal="center" vertical="top" shrinkToFit="1"/>
    </xf>
    <xf numFmtId="0" fontId="4" fillId="0" borderId="10" xfId="0" applyFont="1" applyBorder="1" applyAlignment="1">
      <alignment horizontal="center" vertical="top" shrinkToFit="1"/>
    </xf>
    <xf numFmtId="0" fontId="4" fillId="0" borderId="12" xfId="0" applyFont="1" applyBorder="1" applyAlignment="1">
      <alignment horizontal="center" vertical="top" shrinkToFit="1"/>
    </xf>
    <xf numFmtId="187" fontId="7" fillId="0" borderId="6" xfId="1" applyNumberFormat="1" applyFont="1" applyBorder="1" applyAlignment="1">
      <alignment horizontal="center"/>
    </xf>
    <xf numFmtId="187" fontId="7" fillId="0" borderId="0" xfId="1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V41"/>
  <sheetViews>
    <sheetView view="pageBreakPreview" topLeftCell="A19" workbookViewId="0">
      <selection activeCell="C37" sqref="C37"/>
    </sheetView>
  </sheetViews>
  <sheetFormatPr defaultRowHeight="21.75" customHeight="1"/>
  <cols>
    <col min="1" max="1" width="3.7109375" style="38" customWidth="1"/>
    <col min="2" max="2" width="21.7109375" style="49" customWidth="1"/>
    <col min="3" max="3" width="6" style="58" customWidth="1"/>
    <col min="4" max="4" width="5.7109375" style="49" customWidth="1"/>
    <col min="5" max="5" width="7.85546875" style="49" customWidth="1"/>
    <col min="6" max="6" width="8.85546875" style="5" customWidth="1"/>
    <col min="7" max="9" width="6.28515625" style="5" customWidth="1"/>
    <col min="10" max="10" width="6.28515625" style="153" customWidth="1"/>
    <col min="11" max="12" width="6.28515625" style="5" customWidth="1"/>
    <col min="13" max="15" width="8.28515625" style="5" customWidth="1"/>
    <col min="16" max="18" width="8.7109375" style="5" customWidth="1"/>
    <col min="19" max="19" width="8" style="5" customWidth="1"/>
    <col min="20" max="20" width="4" style="5" customWidth="1"/>
    <col min="21" max="16384" width="9.140625" style="5"/>
  </cols>
  <sheetData>
    <row r="1" spans="1:22" s="1" customFormat="1" ht="21.75" customHeight="1">
      <c r="A1" s="267" t="s">
        <v>298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22" s="1" customFormat="1" ht="21.75" customHeight="1">
      <c r="A2" s="267" t="s">
        <v>26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22" s="1" customFormat="1" ht="21.75" customHeight="1">
      <c r="A3" s="268" t="s">
        <v>19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2" ht="21.75" customHeight="1">
      <c r="A4" s="2" t="s">
        <v>0</v>
      </c>
      <c r="B4" s="39" t="s">
        <v>1</v>
      </c>
      <c r="C4" s="65" t="s">
        <v>2</v>
      </c>
      <c r="D4" s="106" t="s">
        <v>4</v>
      </c>
      <c r="E4" s="269" t="s">
        <v>38</v>
      </c>
      <c r="F4" s="270"/>
      <c r="G4" s="273" t="s">
        <v>39</v>
      </c>
      <c r="H4" s="274"/>
      <c r="I4" s="275"/>
      <c r="J4" s="273" t="s">
        <v>44</v>
      </c>
      <c r="K4" s="274"/>
      <c r="L4" s="275"/>
      <c r="M4" s="3"/>
      <c r="N4" s="240" t="s">
        <v>7</v>
      </c>
      <c r="O4" s="4"/>
      <c r="P4" s="273" t="s">
        <v>6</v>
      </c>
      <c r="Q4" s="274"/>
      <c r="R4" s="275"/>
      <c r="S4" s="2" t="s">
        <v>42</v>
      </c>
    </row>
    <row r="5" spans="1:22" ht="21.75" customHeight="1">
      <c r="A5" s="17"/>
      <c r="B5" s="46"/>
      <c r="C5" s="66" t="s">
        <v>3</v>
      </c>
      <c r="D5" s="110" t="s">
        <v>5</v>
      </c>
      <c r="E5" s="271"/>
      <c r="F5" s="272"/>
      <c r="G5" s="276" t="s">
        <v>40</v>
      </c>
      <c r="H5" s="277"/>
      <c r="I5" s="278"/>
      <c r="J5" s="276" t="s">
        <v>45</v>
      </c>
      <c r="K5" s="277"/>
      <c r="L5" s="278"/>
      <c r="M5" s="59"/>
      <c r="N5" s="19"/>
      <c r="O5" s="60"/>
      <c r="P5" s="59"/>
      <c r="Q5" s="19"/>
      <c r="R5" s="60"/>
      <c r="S5" s="61"/>
    </row>
    <row r="6" spans="1:22" ht="21.75" customHeight="1">
      <c r="A6" s="6"/>
      <c r="B6" s="40"/>
      <c r="C6" s="50"/>
      <c r="D6" s="40"/>
      <c r="E6" s="114" t="s">
        <v>43</v>
      </c>
      <c r="F6" s="67" t="s">
        <v>41</v>
      </c>
      <c r="G6" s="7">
        <v>2558</v>
      </c>
      <c r="H6" s="7">
        <v>2559</v>
      </c>
      <c r="I6" s="7">
        <v>2560</v>
      </c>
      <c r="J6" s="7">
        <v>2558</v>
      </c>
      <c r="K6" s="7">
        <v>2559</v>
      </c>
      <c r="L6" s="7">
        <v>2560</v>
      </c>
      <c r="M6" s="7">
        <v>2558</v>
      </c>
      <c r="N6" s="7">
        <v>2559</v>
      </c>
      <c r="O6" s="7">
        <v>2560</v>
      </c>
      <c r="P6" s="7">
        <v>2558</v>
      </c>
      <c r="Q6" s="7">
        <v>2559</v>
      </c>
      <c r="R6" s="7">
        <v>2560</v>
      </c>
      <c r="S6" s="62"/>
    </row>
    <row r="7" spans="1:22" ht="21.75" customHeight="1">
      <c r="A7" s="239"/>
      <c r="B7" s="143" t="s">
        <v>61</v>
      </c>
      <c r="C7" s="51"/>
      <c r="D7" s="39"/>
      <c r="E7" s="141"/>
      <c r="F7" s="14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86"/>
    </row>
    <row r="8" spans="1:22" ht="21.75" customHeight="1">
      <c r="A8" s="10">
        <v>1</v>
      </c>
      <c r="B8" s="41" t="s">
        <v>75</v>
      </c>
      <c r="C8" s="52">
        <v>9</v>
      </c>
      <c r="D8" s="94">
        <v>1</v>
      </c>
      <c r="E8" s="71">
        <v>1</v>
      </c>
      <c r="F8" s="14">
        <f>(67560*12)+(20000*12)</f>
        <v>1050720</v>
      </c>
      <c r="G8" s="14">
        <v>1</v>
      </c>
      <c r="H8" s="14">
        <v>1</v>
      </c>
      <c r="I8" s="14">
        <v>1</v>
      </c>
      <c r="J8" s="184" t="s">
        <v>8</v>
      </c>
      <c r="K8" s="184" t="s">
        <v>8</v>
      </c>
      <c r="L8" s="184" t="s">
        <v>8</v>
      </c>
      <c r="M8" s="14">
        <f>(69740-67560)*12</f>
        <v>26160</v>
      </c>
      <c r="N8" s="14">
        <f>(71990-69740)*12</f>
        <v>27000</v>
      </c>
      <c r="O8" s="14">
        <f>(74603-71990)*12</f>
        <v>31356</v>
      </c>
      <c r="P8" s="15">
        <f>F8+M8</f>
        <v>1076880</v>
      </c>
      <c r="Q8" s="14">
        <f t="shared" ref="Q8:Q17" si="0">P8+N8</f>
        <v>1103880</v>
      </c>
      <c r="R8" s="14">
        <f t="shared" ref="R8:R17" si="1">Q8+O8</f>
        <v>1135236</v>
      </c>
      <c r="S8" s="41"/>
      <c r="V8" s="5" t="s">
        <v>20</v>
      </c>
    </row>
    <row r="9" spans="1:22" ht="21.75" customHeight="1">
      <c r="A9" s="10">
        <v>2</v>
      </c>
      <c r="B9" s="41" t="s">
        <v>76</v>
      </c>
      <c r="C9" s="52">
        <v>8</v>
      </c>
      <c r="D9" s="94">
        <v>1</v>
      </c>
      <c r="E9" s="71">
        <v>1</v>
      </c>
      <c r="F9" s="14">
        <f>(31900*12)+(11200*12)</f>
        <v>517200</v>
      </c>
      <c r="G9" s="13">
        <v>1</v>
      </c>
      <c r="H9" s="12">
        <v>1</v>
      </c>
      <c r="I9" s="12">
        <v>1</v>
      </c>
      <c r="J9" s="184" t="s">
        <v>8</v>
      </c>
      <c r="K9" s="184" t="s">
        <v>8</v>
      </c>
      <c r="L9" s="184" t="s">
        <v>8</v>
      </c>
      <c r="M9" s="14">
        <f>(33140-31900)*12</f>
        <v>14880</v>
      </c>
      <c r="N9" s="15">
        <f>(34430-33140)*12</f>
        <v>15480</v>
      </c>
      <c r="O9" s="14">
        <f>(35760-34430)*12</f>
        <v>15960</v>
      </c>
      <c r="P9" s="15">
        <f>F9+M9</f>
        <v>532080</v>
      </c>
      <c r="Q9" s="14">
        <f t="shared" si="0"/>
        <v>547560</v>
      </c>
      <c r="R9" s="14">
        <f t="shared" si="1"/>
        <v>563520</v>
      </c>
      <c r="S9" s="41"/>
    </row>
    <row r="10" spans="1:22" ht="21.75" customHeight="1">
      <c r="A10" s="10">
        <v>3</v>
      </c>
      <c r="B10" s="41" t="s">
        <v>77</v>
      </c>
      <c r="C10" s="52">
        <v>7</v>
      </c>
      <c r="D10" s="94">
        <v>1</v>
      </c>
      <c r="E10" s="71" t="s">
        <v>8</v>
      </c>
      <c r="F10" s="14" t="s">
        <v>8</v>
      </c>
      <c r="G10" s="13">
        <v>1</v>
      </c>
      <c r="H10" s="12">
        <v>1</v>
      </c>
      <c r="I10" s="12">
        <v>1</v>
      </c>
      <c r="J10" s="184">
        <v>1</v>
      </c>
      <c r="K10" s="184" t="s">
        <v>8</v>
      </c>
      <c r="L10" s="184" t="s">
        <v>8</v>
      </c>
      <c r="M10" s="14">
        <f>(44990+16190)/2*12</f>
        <v>367080</v>
      </c>
      <c r="N10" s="15">
        <v>13920</v>
      </c>
      <c r="O10" s="14">
        <v>13920</v>
      </c>
      <c r="P10" s="15">
        <f>M10</f>
        <v>367080</v>
      </c>
      <c r="Q10" s="14">
        <f t="shared" si="0"/>
        <v>381000</v>
      </c>
      <c r="R10" s="14">
        <f t="shared" si="1"/>
        <v>394920</v>
      </c>
      <c r="S10" s="41"/>
    </row>
    <row r="11" spans="1:22" ht="21.75" customHeight="1">
      <c r="A11" s="10">
        <v>4</v>
      </c>
      <c r="B11" s="41" t="s">
        <v>78</v>
      </c>
      <c r="C11" s="52">
        <v>8</v>
      </c>
      <c r="D11" s="94">
        <v>1</v>
      </c>
      <c r="E11" s="71">
        <v>1</v>
      </c>
      <c r="F11" s="14">
        <f>26660*12+(11200*12)</f>
        <v>454320</v>
      </c>
      <c r="G11" s="13">
        <v>1</v>
      </c>
      <c r="H11" s="12">
        <v>1</v>
      </c>
      <c r="I11" s="12">
        <v>1</v>
      </c>
      <c r="J11" s="184" t="s">
        <v>8</v>
      </c>
      <c r="K11" s="184" t="s">
        <v>8</v>
      </c>
      <c r="L11" s="184" t="s">
        <v>8</v>
      </c>
      <c r="M11" s="14">
        <v>13680</v>
      </c>
      <c r="N11" s="15">
        <v>13560</v>
      </c>
      <c r="O11" s="14">
        <v>14040</v>
      </c>
      <c r="P11" s="15">
        <f t="shared" ref="P11:P17" si="2">F11+M11</f>
        <v>468000</v>
      </c>
      <c r="Q11" s="14">
        <f t="shared" si="0"/>
        <v>481560</v>
      </c>
      <c r="R11" s="14">
        <f t="shared" si="1"/>
        <v>495600</v>
      </c>
      <c r="S11" s="41"/>
    </row>
    <row r="12" spans="1:22" ht="21.75" customHeight="1">
      <c r="A12" s="10">
        <v>5</v>
      </c>
      <c r="B12" s="41" t="s">
        <v>79</v>
      </c>
      <c r="C12" s="52">
        <v>7</v>
      </c>
      <c r="D12" s="94">
        <v>4</v>
      </c>
      <c r="E12" s="71">
        <v>3</v>
      </c>
      <c r="F12" s="14">
        <f>(22620*12)+(35220*12)+(32450*12)</f>
        <v>1083480</v>
      </c>
      <c r="G12" s="13">
        <v>4</v>
      </c>
      <c r="H12" s="12">
        <v>4</v>
      </c>
      <c r="I12" s="12">
        <v>4</v>
      </c>
      <c r="J12" s="184">
        <v>1</v>
      </c>
      <c r="K12" s="184" t="s">
        <v>8</v>
      </c>
      <c r="L12" s="184" t="s">
        <v>8</v>
      </c>
      <c r="M12" s="14">
        <f>11160+13080+13320</f>
        <v>37560</v>
      </c>
      <c r="N12" s="15">
        <f>11280+13200+13440</f>
        <v>37920</v>
      </c>
      <c r="O12" s="14">
        <f>11760+13320+13080</f>
        <v>38160</v>
      </c>
      <c r="P12" s="15">
        <f>F12+M12</f>
        <v>1121040</v>
      </c>
      <c r="Q12" s="14">
        <f>P12+N12</f>
        <v>1158960</v>
      </c>
      <c r="R12" s="14">
        <f>Q12+O12</f>
        <v>1197120</v>
      </c>
      <c r="S12" s="41"/>
    </row>
    <row r="13" spans="1:22" ht="21.75" customHeight="1">
      <c r="A13" s="10">
        <v>6</v>
      </c>
      <c r="B13" s="41" t="s">
        <v>80</v>
      </c>
      <c r="C13" s="52" t="s">
        <v>37</v>
      </c>
      <c r="D13" s="94">
        <v>1</v>
      </c>
      <c r="E13" s="71">
        <v>1</v>
      </c>
      <c r="F13" s="14">
        <f>19970*12</f>
        <v>239640</v>
      </c>
      <c r="G13" s="13">
        <v>1</v>
      </c>
      <c r="H13" s="12">
        <v>1</v>
      </c>
      <c r="I13" s="12">
        <v>1</v>
      </c>
      <c r="J13" s="184" t="s">
        <v>8</v>
      </c>
      <c r="K13" s="184" t="s">
        <v>8</v>
      </c>
      <c r="L13" s="184" t="s">
        <v>8</v>
      </c>
      <c r="M13" s="14">
        <v>9720</v>
      </c>
      <c r="N13" s="15">
        <v>10080</v>
      </c>
      <c r="O13" s="14">
        <v>10440</v>
      </c>
      <c r="P13" s="15">
        <f t="shared" si="2"/>
        <v>249360</v>
      </c>
      <c r="Q13" s="14">
        <f t="shared" si="0"/>
        <v>259440</v>
      </c>
      <c r="R13" s="14">
        <f t="shared" si="1"/>
        <v>269880</v>
      </c>
      <c r="S13" s="41" t="s">
        <v>20</v>
      </c>
    </row>
    <row r="14" spans="1:22" ht="21.75" customHeight="1">
      <c r="A14" s="10">
        <v>7</v>
      </c>
      <c r="B14" s="41" t="s">
        <v>80</v>
      </c>
      <c r="C14" s="52">
        <v>4</v>
      </c>
      <c r="D14" s="94">
        <v>1</v>
      </c>
      <c r="E14" s="71">
        <v>1</v>
      </c>
      <c r="F14" s="14">
        <f>17880*12</f>
        <v>214560</v>
      </c>
      <c r="G14" s="13">
        <v>1</v>
      </c>
      <c r="H14" s="12">
        <v>1</v>
      </c>
      <c r="I14" s="12">
        <v>1</v>
      </c>
      <c r="J14" s="184" t="s">
        <v>8</v>
      </c>
      <c r="K14" s="184" t="s">
        <v>8</v>
      </c>
      <c r="L14" s="184" t="s">
        <v>8</v>
      </c>
      <c r="M14" s="14">
        <f>(18480-17880)*12</f>
        <v>7200</v>
      </c>
      <c r="N14" s="14">
        <f>(19100-18480)*12</f>
        <v>7440</v>
      </c>
      <c r="O14" s="14">
        <f>(19720-19100)*12</f>
        <v>7440</v>
      </c>
      <c r="P14" s="15">
        <f t="shared" si="2"/>
        <v>221760</v>
      </c>
      <c r="Q14" s="14">
        <f t="shared" si="0"/>
        <v>229200</v>
      </c>
      <c r="R14" s="14">
        <f t="shared" si="1"/>
        <v>236640</v>
      </c>
      <c r="S14" s="41"/>
      <c r="T14" s="85" t="s">
        <v>311</v>
      </c>
    </row>
    <row r="15" spans="1:22" ht="21.75" customHeight="1">
      <c r="A15" s="10">
        <v>8</v>
      </c>
      <c r="B15" s="41" t="s">
        <v>81</v>
      </c>
      <c r="C15" s="52" t="s">
        <v>60</v>
      </c>
      <c r="D15" s="94">
        <v>1</v>
      </c>
      <c r="E15" s="71">
        <v>1</v>
      </c>
      <c r="F15" s="14">
        <f>22170*12</f>
        <v>266040</v>
      </c>
      <c r="G15" s="13">
        <v>1</v>
      </c>
      <c r="H15" s="12">
        <v>1</v>
      </c>
      <c r="I15" s="12">
        <v>1</v>
      </c>
      <c r="J15" s="184" t="s">
        <v>8</v>
      </c>
      <c r="K15" s="184" t="s">
        <v>8</v>
      </c>
      <c r="L15" s="184" t="s">
        <v>8</v>
      </c>
      <c r="M15" s="14">
        <v>10920</v>
      </c>
      <c r="N15" s="15">
        <v>11160</v>
      </c>
      <c r="O15" s="14">
        <v>11520</v>
      </c>
      <c r="P15" s="15">
        <f t="shared" si="2"/>
        <v>276960</v>
      </c>
      <c r="Q15" s="14">
        <f t="shared" si="0"/>
        <v>288120</v>
      </c>
      <c r="R15" s="14">
        <f t="shared" si="1"/>
        <v>299640</v>
      </c>
      <c r="S15" s="41"/>
    </row>
    <row r="16" spans="1:22" ht="21.75" customHeight="1">
      <c r="A16" s="10">
        <v>9</v>
      </c>
      <c r="B16" s="41" t="s">
        <v>82</v>
      </c>
      <c r="C16" s="52">
        <v>5</v>
      </c>
      <c r="D16" s="94">
        <v>1</v>
      </c>
      <c r="E16" s="71">
        <v>1</v>
      </c>
      <c r="F16" s="14">
        <f>21500*12</f>
        <v>258000</v>
      </c>
      <c r="G16" s="13">
        <v>1</v>
      </c>
      <c r="H16" s="12">
        <v>1</v>
      </c>
      <c r="I16" s="12">
        <v>1</v>
      </c>
      <c r="J16" s="184" t="s">
        <v>8</v>
      </c>
      <c r="K16" s="184" t="s">
        <v>8</v>
      </c>
      <c r="L16" s="184" t="s">
        <v>8</v>
      </c>
      <c r="M16" s="14">
        <v>8760</v>
      </c>
      <c r="N16" s="15">
        <v>9000</v>
      </c>
      <c r="O16" s="14">
        <v>8760</v>
      </c>
      <c r="P16" s="15">
        <f t="shared" si="2"/>
        <v>266760</v>
      </c>
      <c r="Q16" s="14">
        <f t="shared" si="0"/>
        <v>275760</v>
      </c>
      <c r="R16" s="14">
        <f t="shared" si="1"/>
        <v>284520</v>
      </c>
      <c r="S16" s="41"/>
    </row>
    <row r="17" spans="1:22" ht="21.75" customHeight="1">
      <c r="A17" s="10">
        <v>10</v>
      </c>
      <c r="B17" s="41" t="s">
        <v>83</v>
      </c>
      <c r="C17" s="52">
        <v>5</v>
      </c>
      <c r="D17" s="94">
        <v>1</v>
      </c>
      <c r="E17" s="71">
        <v>1</v>
      </c>
      <c r="F17" s="14">
        <f>15920*12</f>
        <v>191040</v>
      </c>
      <c r="G17" s="13">
        <v>1</v>
      </c>
      <c r="H17" s="12">
        <v>1</v>
      </c>
      <c r="I17" s="12">
        <v>1</v>
      </c>
      <c r="J17" s="184" t="s">
        <v>8</v>
      </c>
      <c r="K17" s="184" t="s">
        <v>8</v>
      </c>
      <c r="L17" s="184" t="s">
        <v>8</v>
      </c>
      <c r="M17" s="14">
        <v>7560</v>
      </c>
      <c r="N17" s="15">
        <v>7800</v>
      </c>
      <c r="O17" s="14">
        <v>8280</v>
      </c>
      <c r="P17" s="15">
        <f t="shared" si="2"/>
        <v>198600</v>
      </c>
      <c r="Q17" s="14">
        <f t="shared" si="0"/>
        <v>206400</v>
      </c>
      <c r="R17" s="14">
        <f t="shared" si="1"/>
        <v>214680</v>
      </c>
      <c r="S17" s="41"/>
    </row>
    <row r="18" spans="1:22" ht="21.75" customHeight="1">
      <c r="A18" s="10">
        <v>11</v>
      </c>
      <c r="B18" s="41" t="s">
        <v>219</v>
      </c>
      <c r="C18" s="52" t="s">
        <v>220</v>
      </c>
      <c r="D18" s="94">
        <v>1</v>
      </c>
      <c r="E18" s="71" t="s">
        <v>8</v>
      </c>
      <c r="F18" s="14" t="s">
        <v>8</v>
      </c>
      <c r="G18" s="13">
        <v>1</v>
      </c>
      <c r="H18" s="12">
        <v>1</v>
      </c>
      <c r="I18" s="12">
        <v>1</v>
      </c>
      <c r="J18" s="184">
        <v>1</v>
      </c>
      <c r="K18" s="184" t="s">
        <v>8</v>
      </c>
      <c r="L18" s="185" t="s">
        <v>8</v>
      </c>
      <c r="M18" s="12">
        <v>242700</v>
      </c>
      <c r="N18" s="14">
        <f>8580</f>
        <v>8580</v>
      </c>
      <c r="O18" s="14">
        <f>8580</f>
        <v>8580</v>
      </c>
      <c r="P18" s="12">
        <f>M18</f>
        <v>242700</v>
      </c>
      <c r="Q18" s="12">
        <f>P18+N18</f>
        <v>251280</v>
      </c>
      <c r="R18" s="14">
        <f>Q18+O18</f>
        <v>259860</v>
      </c>
      <c r="S18" s="41"/>
    </row>
    <row r="19" spans="1:22" ht="21.75" customHeight="1">
      <c r="A19" s="10"/>
      <c r="B19" s="144" t="s">
        <v>18</v>
      </c>
      <c r="C19" s="52"/>
      <c r="D19" s="94"/>
      <c r="E19" s="71"/>
      <c r="F19" s="14"/>
      <c r="G19" s="13"/>
      <c r="H19" s="12"/>
      <c r="I19" s="12"/>
      <c r="J19" s="184"/>
      <c r="K19" s="184"/>
      <c r="L19" s="184"/>
      <c r="M19" s="14"/>
      <c r="N19" s="15"/>
      <c r="O19" s="14"/>
      <c r="P19" s="15"/>
      <c r="Q19" s="14"/>
      <c r="R19" s="14"/>
      <c r="S19" s="41"/>
    </row>
    <row r="20" spans="1:22" ht="21.75" customHeight="1">
      <c r="A20" s="10">
        <v>12</v>
      </c>
      <c r="B20" s="42" t="s">
        <v>64</v>
      </c>
      <c r="C20" s="52" t="s">
        <v>25</v>
      </c>
      <c r="D20" s="94">
        <v>1</v>
      </c>
      <c r="E20" s="71">
        <v>1</v>
      </c>
      <c r="F20" s="14">
        <f>16960*12</f>
        <v>203520</v>
      </c>
      <c r="G20" s="13">
        <v>1</v>
      </c>
      <c r="H20" s="12">
        <v>1</v>
      </c>
      <c r="I20" s="12">
        <v>1</v>
      </c>
      <c r="J20" s="184" t="s">
        <v>8</v>
      </c>
      <c r="K20" s="184" t="s">
        <v>8</v>
      </c>
      <c r="L20" s="184" t="s">
        <v>8</v>
      </c>
      <c r="M20" s="14">
        <v>7320</v>
      </c>
      <c r="N20" s="15">
        <v>7440</v>
      </c>
      <c r="O20" s="14">
        <v>7200</v>
      </c>
      <c r="P20" s="15">
        <f>F20+M20</f>
        <v>210840</v>
      </c>
      <c r="Q20" s="14">
        <f t="shared" ref="Q20:R22" si="3">P20+N20</f>
        <v>218280</v>
      </c>
      <c r="R20" s="14">
        <f t="shared" si="3"/>
        <v>225480</v>
      </c>
      <c r="S20" s="41"/>
    </row>
    <row r="21" spans="1:22" ht="21.75" customHeight="1">
      <c r="A21" s="10">
        <v>13</v>
      </c>
      <c r="B21" s="42" t="s">
        <v>65</v>
      </c>
      <c r="C21" s="52" t="s">
        <v>8</v>
      </c>
      <c r="D21" s="94">
        <v>1</v>
      </c>
      <c r="E21" s="71">
        <v>1</v>
      </c>
      <c r="F21" s="14">
        <f>14030*12</f>
        <v>168360</v>
      </c>
      <c r="G21" s="36">
        <v>1</v>
      </c>
      <c r="H21" s="12">
        <v>1</v>
      </c>
      <c r="I21" s="12">
        <v>1</v>
      </c>
      <c r="J21" s="184" t="s">
        <v>8</v>
      </c>
      <c r="K21" s="184" t="s">
        <v>8</v>
      </c>
      <c r="L21" s="184" t="s">
        <v>8</v>
      </c>
      <c r="M21" s="14">
        <v>6480</v>
      </c>
      <c r="N21" s="15">
        <v>6840</v>
      </c>
      <c r="O21" s="14">
        <v>6960</v>
      </c>
      <c r="P21" s="15">
        <f>F21+M21</f>
        <v>174840</v>
      </c>
      <c r="Q21" s="14">
        <f t="shared" si="3"/>
        <v>181680</v>
      </c>
      <c r="R21" s="14">
        <f t="shared" si="3"/>
        <v>188640</v>
      </c>
      <c r="S21" s="41"/>
    </row>
    <row r="22" spans="1:22" ht="21.75" customHeight="1">
      <c r="A22" s="10">
        <v>14</v>
      </c>
      <c r="B22" s="42" t="s">
        <v>66</v>
      </c>
      <c r="C22" s="52" t="s">
        <v>8</v>
      </c>
      <c r="D22" s="94">
        <v>1</v>
      </c>
      <c r="E22" s="71">
        <v>1</v>
      </c>
      <c r="F22" s="14">
        <f>14030*12</f>
        <v>168360</v>
      </c>
      <c r="G22" s="36">
        <v>1</v>
      </c>
      <c r="H22" s="12">
        <v>1</v>
      </c>
      <c r="I22" s="12">
        <v>1</v>
      </c>
      <c r="J22" s="184" t="s">
        <v>8</v>
      </c>
      <c r="K22" s="184" t="s">
        <v>8</v>
      </c>
      <c r="L22" s="184" t="s">
        <v>8</v>
      </c>
      <c r="M22" s="14">
        <v>6480</v>
      </c>
      <c r="N22" s="15">
        <v>6840</v>
      </c>
      <c r="O22" s="14">
        <v>6960</v>
      </c>
      <c r="P22" s="15">
        <f>F22+M22</f>
        <v>174840</v>
      </c>
      <c r="Q22" s="14">
        <f t="shared" si="3"/>
        <v>181680</v>
      </c>
      <c r="R22" s="14">
        <f t="shared" si="3"/>
        <v>188640</v>
      </c>
      <c r="S22" s="252"/>
    </row>
    <row r="23" spans="1:22" ht="21.75" customHeight="1">
      <c r="A23" s="10"/>
      <c r="B23" s="144" t="s">
        <v>62</v>
      </c>
      <c r="C23" s="52"/>
      <c r="D23" s="94"/>
      <c r="E23" s="71"/>
      <c r="F23" s="14"/>
      <c r="G23" s="36"/>
      <c r="H23" s="12"/>
      <c r="I23" s="12"/>
      <c r="J23" s="184"/>
      <c r="K23" s="184"/>
      <c r="L23" s="184"/>
      <c r="M23" s="14"/>
      <c r="N23" s="15"/>
      <c r="O23" s="14"/>
      <c r="P23" s="15"/>
      <c r="Q23" s="14"/>
      <c r="R23" s="14"/>
      <c r="S23" s="41"/>
    </row>
    <row r="24" spans="1:22" ht="21.75" customHeight="1">
      <c r="A24" s="18">
        <v>15</v>
      </c>
      <c r="B24" s="232" t="s">
        <v>120</v>
      </c>
      <c r="C24" s="53" t="s">
        <v>8</v>
      </c>
      <c r="D24" s="43">
        <v>1</v>
      </c>
      <c r="E24" s="100">
        <v>1</v>
      </c>
      <c r="F24" s="22">
        <f>15540*12</f>
        <v>186480</v>
      </c>
      <c r="G24" s="24">
        <v>1</v>
      </c>
      <c r="H24" s="20">
        <v>1</v>
      </c>
      <c r="I24" s="20">
        <v>1</v>
      </c>
      <c r="J24" s="233" t="s">
        <v>8</v>
      </c>
      <c r="K24" s="233" t="s">
        <v>8</v>
      </c>
      <c r="L24" s="233" t="s">
        <v>8</v>
      </c>
      <c r="M24" s="22">
        <f>630*12</f>
        <v>7560</v>
      </c>
      <c r="N24" s="23">
        <f>7800</f>
        <v>7800</v>
      </c>
      <c r="O24" s="22">
        <f>8160</f>
        <v>8160</v>
      </c>
      <c r="P24" s="23">
        <f t="shared" ref="P24:P28" si="4">F24+M24</f>
        <v>194040</v>
      </c>
      <c r="Q24" s="22">
        <f>P24+N24</f>
        <v>201840</v>
      </c>
      <c r="R24" s="22">
        <f>Q24+O24</f>
        <v>210000</v>
      </c>
      <c r="S24" s="45"/>
      <c r="V24" s="25"/>
    </row>
    <row r="25" spans="1:22" ht="21.75" customHeight="1">
      <c r="A25" s="10">
        <v>16</v>
      </c>
      <c r="B25" s="42" t="s">
        <v>121</v>
      </c>
      <c r="C25" s="52" t="s">
        <v>8</v>
      </c>
      <c r="D25" s="94">
        <v>2</v>
      </c>
      <c r="E25" s="71">
        <v>2</v>
      </c>
      <c r="F25" s="14">
        <v>321840</v>
      </c>
      <c r="G25" s="36">
        <v>2</v>
      </c>
      <c r="H25" s="12">
        <v>2</v>
      </c>
      <c r="I25" s="12">
        <v>2</v>
      </c>
      <c r="J25" s="184" t="s">
        <v>8</v>
      </c>
      <c r="K25" s="184" t="s">
        <v>8</v>
      </c>
      <c r="L25" s="184" t="s">
        <v>8</v>
      </c>
      <c r="M25" s="14">
        <f>12960</f>
        <v>12960</v>
      </c>
      <c r="N25" s="15">
        <f>13560</f>
        <v>13560</v>
      </c>
      <c r="O25" s="14">
        <f>14040</f>
        <v>14040</v>
      </c>
      <c r="P25" s="26">
        <f>F25+M25</f>
        <v>334800</v>
      </c>
      <c r="Q25" s="14">
        <f>P25+N25</f>
        <v>348360</v>
      </c>
      <c r="R25" s="14">
        <f>Q25+O25</f>
        <v>362400</v>
      </c>
      <c r="S25" s="41"/>
    </row>
    <row r="26" spans="1:22" ht="21.75" customHeight="1">
      <c r="A26" s="10">
        <v>17</v>
      </c>
      <c r="B26" s="42" t="s">
        <v>122</v>
      </c>
      <c r="C26" s="52" t="s">
        <v>8</v>
      </c>
      <c r="D26" s="94">
        <v>1</v>
      </c>
      <c r="E26" s="71">
        <v>1</v>
      </c>
      <c r="F26" s="14">
        <f>9900*12</f>
        <v>118800</v>
      </c>
      <c r="G26" s="36">
        <v>1</v>
      </c>
      <c r="H26" s="12">
        <v>1</v>
      </c>
      <c r="I26" s="12">
        <v>1</v>
      </c>
      <c r="J26" s="185" t="s">
        <v>8</v>
      </c>
      <c r="K26" s="185" t="s">
        <v>8</v>
      </c>
      <c r="L26" s="185" t="s">
        <v>8</v>
      </c>
      <c r="M26" s="14">
        <v>4800</v>
      </c>
      <c r="N26" s="15">
        <v>5040</v>
      </c>
      <c r="O26" s="14">
        <v>5160</v>
      </c>
      <c r="P26" s="15">
        <f t="shared" si="4"/>
        <v>123600</v>
      </c>
      <c r="Q26" s="14">
        <f t="shared" ref="Q26:R27" si="5">P26+N26</f>
        <v>128640</v>
      </c>
      <c r="R26" s="14">
        <f t="shared" si="5"/>
        <v>133800</v>
      </c>
      <c r="S26" s="41"/>
    </row>
    <row r="27" spans="1:22" ht="21.75" customHeight="1">
      <c r="A27" s="10">
        <v>18</v>
      </c>
      <c r="B27" s="42" t="s">
        <v>123</v>
      </c>
      <c r="C27" s="52" t="s">
        <v>8</v>
      </c>
      <c r="D27" s="94">
        <v>1</v>
      </c>
      <c r="E27" s="71">
        <v>1</v>
      </c>
      <c r="F27" s="14">
        <f>10890*12</f>
        <v>130680</v>
      </c>
      <c r="G27" s="36">
        <v>1</v>
      </c>
      <c r="H27" s="12">
        <v>1</v>
      </c>
      <c r="I27" s="12">
        <v>1</v>
      </c>
      <c r="J27" s="185" t="s">
        <v>8</v>
      </c>
      <c r="K27" s="185" t="s">
        <v>8</v>
      </c>
      <c r="L27" s="185" t="s">
        <v>8</v>
      </c>
      <c r="M27" s="14">
        <v>5280</v>
      </c>
      <c r="N27" s="15">
        <v>5520</v>
      </c>
      <c r="O27" s="14">
        <v>5760</v>
      </c>
      <c r="P27" s="15">
        <f t="shared" si="4"/>
        <v>135960</v>
      </c>
      <c r="Q27" s="14">
        <f t="shared" si="5"/>
        <v>141480</v>
      </c>
      <c r="R27" s="14">
        <f t="shared" si="5"/>
        <v>147240</v>
      </c>
      <c r="S27" s="41"/>
    </row>
    <row r="28" spans="1:22" ht="21.75" customHeight="1">
      <c r="A28" s="10">
        <v>19</v>
      </c>
      <c r="B28" s="42" t="s">
        <v>124</v>
      </c>
      <c r="C28" s="52" t="s">
        <v>8</v>
      </c>
      <c r="D28" s="94">
        <v>1</v>
      </c>
      <c r="E28" s="71">
        <v>1</v>
      </c>
      <c r="F28" s="14">
        <f>9900*12</f>
        <v>118800</v>
      </c>
      <c r="G28" s="36">
        <v>1</v>
      </c>
      <c r="H28" s="12">
        <v>1</v>
      </c>
      <c r="I28" s="12">
        <v>1</v>
      </c>
      <c r="J28" s="185" t="s">
        <v>8</v>
      </c>
      <c r="K28" s="185" t="s">
        <v>8</v>
      </c>
      <c r="L28" s="185" t="s">
        <v>8</v>
      </c>
      <c r="M28" s="14">
        <f>4800</f>
        <v>4800</v>
      </c>
      <c r="N28" s="15">
        <f>5040+4560</f>
        <v>9600</v>
      </c>
      <c r="O28" s="14">
        <f>5160+4800</f>
        <v>9960</v>
      </c>
      <c r="P28" s="15">
        <f t="shared" si="4"/>
        <v>123600</v>
      </c>
      <c r="Q28" s="14">
        <f t="shared" ref="Q28:R28" si="6">P28+N28</f>
        <v>133200</v>
      </c>
      <c r="R28" s="14">
        <f t="shared" si="6"/>
        <v>143160</v>
      </c>
      <c r="S28" s="41"/>
    </row>
    <row r="29" spans="1:22" ht="21.75" customHeight="1">
      <c r="A29" s="10">
        <v>20</v>
      </c>
      <c r="B29" s="42" t="s">
        <v>65</v>
      </c>
      <c r="C29" s="52" t="s">
        <v>8</v>
      </c>
      <c r="D29" s="94">
        <v>1</v>
      </c>
      <c r="E29" s="71">
        <v>1</v>
      </c>
      <c r="F29" s="14">
        <f>9900*12</f>
        <v>118800</v>
      </c>
      <c r="G29" s="36">
        <v>1</v>
      </c>
      <c r="H29" s="12">
        <v>1</v>
      </c>
      <c r="I29" s="12">
        <v>1</v>
      </c>
      <c r="J29" s="185" t="s">
        <v>8</v>
      </c>
      <c r="K29" s="185" t="s">
        <v>8</v>
      </c>
      <c r="L29" s="185" t="s">
        <v>8</v>
      </c>
      <c r="M29" s="14">
        <f>(4800)</f>
        <v>4800</v>
      </c>
      <c r="N29" s="15">
        <f>5040</f>
        <v>5040</v>
      </c>
      <c r="O29" s="14">
        <f>5160</f>
        <v>5160</v>
      </c>
      <c r="P29" s="15">
        <f>F29+M29</f>
        <v>123600</v>
      </c>
      <c r="Q29" s="14">
        <f t="shared" ref="Q29:R31" si="7">P29+N29</f>
        <v>128640</v>
      </c>
      <c r="R29" s="14">
        <f t="shared" si="7"/>
        <v>133800</v>
      </c>
      <c r="S29" s="41"/>
    </row>
    <row r="30" spans="1:22" ht="21.75" customHeight="1">
      <c r="A30" s="10">
        <v>21</v>
      </c>
      <c r="B30" s="42" t="s">
        <v>66</v>
      </c>
      <c r="C30" s="52" t="s">
        <v>8</v>
      </c>
      <c r="D30" s="94">
        <v>4</v>
      </c>
      <c r="E30" s="71">
        <v>4</v>
      </c>
      <c r="F30" s="14">
        <v>510840</v>
      </c>
      <c r="G30" s="36">
        <v>4</v>
      </c>
      <c r="H30" s="12">
        <v>4</v>
      </c>
      <c r="I30" s="12">
        <v>4</v>
      </c>
      <c r="J30" s="185" t="s">
        <v>8</v>
      </c>
      <c r="K30" s="185" t="s">
        <v>8</v>
      </c>
      <c r="L30" s="185" t="s">
        <v>8</v>
      </c>
      <c r="M30" s="14">
        <f>20640</f>
        <v>20640</v>
      </c>
      <c r="N30" s="15">
        <f>21480</f>
        <v>21480</v>
      </c>
      <c r="O30" s="14">
        <f>22320</f>
        <v>22320</v>
      </c>
      <c r="P30" s="15">
        <f>F30+M30</f>
        <v>531480</v>
      </c>
      <c r="Q30" s="14">
        <f t="shared" si="7"/>
        <v>552960</v>
      </c>
      <c r="R30" s="14">
        <f t="shared" si="7"/>
        <v>575280</v>
      </c>
      <c r="S30" s="41"/>
    </row>
    <row r="31" spans="1:22" ht="21.75" customHeight="1">
      <c r="A31" s="10">
        <v>22</v>
      </c>
      <c r="B31" s="42" t="s">
        <v>64</v>
      </c>
      <c r="C31" s="52" t="s">
        <v>8</v>
      </c>
      <c r="D31" s="94">
        <v>4</v>
      </c>
      <c r="E31" s="71">
        <v>4</v>
      </c>
      <c r="F31" s="14">
        <v>499200</v>
      </c>
      <c r="G31" s="14">
        <v>4</v>
      </c>
      <c r="H31" s="14">
        <v>4</v>
      </c>
      <c r="I31" s="14">
        <v>4</v>
      </c>
      <c r="J31" s="185" t="s">
        <v>8</v>
      </c>
      <c r="K31" s="185" t="s">
        <v>8</v>
      </c>
      <c r="L31" s="185" t="s">
        <v>8</v>
      </c>
      <c r="M31" s="14">
        <v>20280</v>
      </c>
      <c r="N31" s="14">
        <v>21240</v>
      </c>
      <c r="O31" s="14">
        <v>21960</v>
      </c>
      <c r="P31" s="14">
        <f>F31+M31</f>
        <v>519480</v>
      </c>
      <c r="Q31" s="14">
        <f t="shared" si="7"/>
        <v>540720</v>
      </c>
      <c r="R31" s="14">
        <f t="shared" si="7"/>
        <v>562680</v>
      </c>
      <c r="S31" s="41"/>
    </row>
    <row r="32" spans="1:22" ht="21.75" customHeight="1">
      <c r="A32" s="10"/>
      <c r="B32" s="144" t="s">
        <v>63</v>
      </c>
      <c r="C32" s="52"/>
      <c r="D32" s="94"/>
      <c r="E32" s="71"/>
      <c r="F32" s="14"/>
      <c r="G32" s="36"/>
      <c r="H32" s="12"/>
      <c r="I32" s="12"/>
      <c r="J32" s="184"/>
      <c r="K32" s="184"/>
      <c r="L32" s="184"/>
      <c r="M32" s="14"/>
      <c r="N32" s="15"/>
      <c r="O32" s="14"/>
      <c r="P32" s="15"/>
      <c r="Q32" s="14"/>
      <c r="R32" s="14"/>
      <c r="S32" s="41"/>
    </row>
    <row r="33" spans="1:20" ht="21.75" customHeight="1">
      <c r="A33" s="10">
        <v>23</v>
      </c>
      <c r="B33" s="42" t="s">
        <v>147</v>
      </c>
      <c r="C33" s="52" t="s">
        <v>8</v>
      </c>
      <c r="D33" s="94">
        <v>14</v>
      </c>
      <c r="E33" s="71">
        <v>11</v>
      </c>
      <c r="F33" s="14">
        <f>9000*12*E33</f>
        <v>1188000</v>
      </c>
      <c r="G33" s="36">
        <v>13</v>
      </c>
      <c r="H33" s="12">
        <v>14</v>
      </c>
      <c r="I33" s="12">
        <v>14</v>
      </c>
      <c r="J33" s="184">
        <v>2</v>
      </c>
      <c r="K33" s="184">
        <v>1</v>
      </c>
      <c r="L33" s="185" t="s">
        <v>8</v>
      </c>
      <c r="M33" s="134">
        <f>9000*2*12</f>
        <v>216000</v>
      </c>
      <c r="N33" s="134">
        <f>9000*12</f>
        <v>108000</v>
      </c>
      <c r="O33" s="134" t="s">
        <v>8</v>
      </c>
      <c r="P33" s="15">
        <f>F33+M33</f>
        <v>1404000</v>
      </c>
      <c r="Q33" s="14">
        <f>P33+N33</f>
        <v>1512000</v>
      </c>
      <c r="R33" s="14">
        <f>Q33</f>
        <v>1512000</v>
      </c>
      <c r="S33" s="41"/>
    </row>
    <row r="34" spans="1:20" ht="21.75" customHeight="1">
      <c r="A34" s="10"/>
      <c r="B34" s="42"/>
      <c r="C34" s="52"/>
      <c r="D34" s="94"/>
      <c r="E34" s="71"/>
      <c r="F34" s="14"/>
      <c r="G34" s="24"/>
      <c r="H34" s="20"/>
      <c r="I34" s="20"/>
      <c r="J34" s="187"/>
      <c r="K34" s="184"/>
      <c r="L34" s="184"/>
      <c r="M34" s="22"/>
      <c r="N34" s="23"/>
      <c r="O34" s="22"/>
      <c r="P34" s="23"/>
      <c r="Q34" s="22"/>
      <c r="R34" s="22"/>
      <c r="S34" s="62"/>
    </row>
    <row r="35" spans="1:20" s="25" customFormat="1" ht="21.75" customHeight="1">
      <c r="A35" s="30"/>
      <c r="B35" s="47" t="s">
        <v>9</v>
      </c>
      <c r="C35" s="54"/>
      <c r="D35" s="47">
        <f>SUM(D8:D34)</f>
        <v>46</v>
      </c>
      <c r="E35" s="47">
        <f>SUM(E8:E34)</f>
        <v>40</v>
      </c>
      <c r="F35" s="47">
        <f>SUM(F8:F34)</f>
        <v>8008680</v>
      </c>
      <c r="G35" s="30">
        <f>SUM(G8:G34)</f>
        <v>45</v>
      </c>
      <c r="H35" s="30">
        <f t="shared" ref="H35:I35" si="8">SUM(H8:H34)</f>
        <v>46</v>
      </c>
      <c r="I35" s="30">
        <f t="shared" si="8"/>
        <v>46</v>
      </c>
      <c r="J35" s="242">
        <f>SUM(J8:J33)</f>
        <v>5</v>
      </c>
      <c r="K35" s="242">
        <f t="shared" ref="K35" si="9">SUM(K8:K33)</f>
        <v>1</v>
      </c>
      <c r="L35" s="231" t="s">
        <v>8</v>
      </c>
      <c r="M35" s="47">
        <f>SUM(M8:M34)</f>
        <v>1063620</v>
      </c>
      <c r="N35" s="47">
        <f>SUM(N8:N34)</f>
        <v>380340</v>
      </c>
      <c r="O35" s="47">
        <f t="shared" ref="O35:P35" si="10">SUM(O8:O34)</f>
        <v>282096</v>
      </c>
      <c r="P35" s="47">
        <f t="shared" si="10"/>
        <v>9072300</v>
      </c>
      <c r="Q35" s="47">
        <f>SUM(Q8:Q34)</f>
        <v>9452640</v>
      </c>
      <c r="R35" s="47">
        <f>SUM(R8:R34)</f>
        <v>9734736</v>
      </c>
      <c r="S35" s="63"/>
      <c r="T35" s="85" t="s">
        <v>312</v>
      </c>
    </row>
    <row r="36" spans="1:20" s="33" customFormat="1" ht="21.75" customHeight="1">
      <c r="A36" s="11"/>
      <c r="B36" s="48"/>
      <c r="C36" s="52"/>
      <c r="D36" s="44"/>
      <c r="E36" s="44"/>
      <c r="F36" s="34"/>
      <c r="G36" s="11"/>
      <c r="H36" s="11"/>
      <c r="I36" s="11"/>
      <c r="J36" s="166"/>
      <c r="K36" s="11"/>
      <c r="L36" s="11"/>
      <c r="M36" s="34"/>
      <c r="N36" s="34"/>
      <c r="O36" s="34"/>
      <c r="P36" s="34"/>
      <c r="Q36" s="34"/>
      <c r="R36" s="34"/>
    </row>
    <row r="37" spans="1:20" s="33" customFormat="1" ht="21.75" customHeight="1">
      <c r="A37" s="11"/>
      <c r="B37" s="48"/>
      <c r="C37" s="52"/>
      <c r="D37" s="44"/>
      <c r="E37" s="44"/>
      <c r="F37" s="34"/>
      <c r="G37" s="11"/>
      <c r="H37" s="11"/>
      <c r="I37" s="11"/>
      <c r="J37" s="166"/>
      <c r="K37" s="11"/>
      <c r="L37" s="11"/>
      <c r="M37" s="34"/>
      <c r="N37" s="34"/>
      <c r="O37" s="34"/>
      <c r="P37" s="34"/>
      <c r="Q37" s="34"/>
      <c r="R37" s="35"/>
    </row>
    <row r="38" spans="1:20" s="33" customFormat="1" ht="21.75" customHeight="1">
      <c r="A38" s="11"/>
      <c r="B38" s="48"/>
      <c r="C38" s="52"/>
      <c r="D38" s="44"/>
      <c r="E38" s="44"/>
      <c r="F38" s="34"/>
      <c r="G38" s="11"/>
      <c r="H38" s="11"/>
      <c r="I38" s="11"/>
      <c r="J38" s="166"/>
      <c r="K38" s="11"/>
      <c r="L38" s="11"/>
      <c r="M38" s="34"/>
      <c r="N38" s="34"/>
      <c r="O38" s="34"/>
      <c r="P38" s="34"/>
      <c r="Q38" s="34"/>
      <c r="R38" s="35"/>
    </row>
    <row r="39" spans="1:20" ht="21.75" customHeight="1">
      <c r="A39" s="11"/>
      <c r="B39" s="48"/>
      <c r="C39" s="52"/>
      <c r="D39" s="44"/>
      <c r="E39" s="44"/>
      <c r="F39" s="34"/>
      <c r="G39" s="11"/>
      <c r="H39" s="11"/>
      <c r="I39" s="11"/>
      <c r="J39" s="166"/>
      <c r="K39" s="11"/>
      <c r="L39" s="11"/>
      <c r="M39" s="35"/>
      <c r="N39" s="35"/>
      <c r="O39" s="35"/>
      <c r="P39" s="35"/>
      <c r="Q39" s="35"/>
      <c r="R39" s="35"/>
    </row>
    <row r="40" spans="1:20" ht="21.75" customHeight="1">
      <c r="A40" s="11"/>
      <c r="B40" s="48"/>
      <c r="C40" s="57"/>
      <c r="D40" s="44"/>
      <c r="E40" s="44"/>
      <c r="F40" s="34"/>
      <c r="G40" s="11"/>
      <c r="H40" s="11"/>
      <c r="I40" s="11"/>
      <c r="J40" s="166"/>
      <c r="K40" s="11"/>
      <c r="L40" s="11"/>
      <c r="M40" s="35"/>
      <c r="N40" s="35"/>
      <c r="O40" s="35"/>
      <c r="P40" s="35"/>
      <c r="Q40" s="35"/>
      <c r="R40" s="35"/>
    </row>
    <row r="41" spans="1:20" ht="21.75" customHeight="1">
      <c r="A41" s="11"/>
      <c r="B41" s="44"/>
      <c r="C41" s="52"/>
      <c r="D41" s="44"/>
      <c r="E41" s="44"/>
      <c r="F41" s="35"/>
      <c r="G41" s="11"/>
      <c r="H41" s="11"/>
      <c r="I41" s="11"/>
      <c r="J41" s="166"/>
      <c r="K41" s="11"/>
      <c r="L41" s="11"/>
      <c r="M41" s="35"/>
      <c r="N41" s="35"/>
      <c r="O41" s="35"/>
      <c r="P41" s="35"/>
      <c r="Q41" s="35"/>
      <c r="R41" s="35"/>
    </row>
  </sheetData>
  <mergeCells count="9">
    <mergeCell ref="A1:R1"/>
    <mergeCell ref="A2:R2"/>
    <mergeCell ref="A3:R3"/>
    <mergeCell ref="E4:F5"/>
    <mergeCell ref="G4:I4"/>
    <mergeCell ref="P4:R4"/>
    <mergeCell ref="G5:I5"/>
    <mergeCell ref="J4:L4"/>
    <mergeCell ref="J5:L5"/>
  </mergeCells>
  <phoneticPr fontId="0" type="noConversion"/>
  <pageMargins left="0.28000000000000003" right="0.28000000000000003" top="0.62" bottom="0.68" header="0.31496062992125984" footer="0.15748031496062992"/>
  <pageSetup paperSize="9" orientation="landscape" horizontalDpi="4294967294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49"/>
  <sheetViews>
    <sheetView topLeftCell="A13" workbookViewId="0">
      <selection activeCell="B17" sqref="B17"/>
    </sheetView>
  </sheetViews>
  <sheetFormatPr defaultRowHeight="21.75"/>
  <cols>
    <col min="1" max="1" width="4.7109375" style="49" customWidth="1"/>
    <col min="2" max="2" width="23.140625" style="49" customWidth="1"/>
    <col min="3" max="3" width="6.42578125" style="49" customWidth="1"/>
    <col min="4" max="4" width="7.42578125" style="49" customWidth="1"/>
    <col min="5" max="5" width="8.85546875" style="129" customWidth="1"/>
    <col min="6" max="6" width="7.42578125" style="49" customWidth="1"/>
    <col min="7" max="9" width="5.7109375" style="49" customWidth="1"/>
    <col min="10" max="12" width="5.85546875" style="49" customWidth="1"/>
    <col min="13" max="15" width="8.140625" style="49" customWidth="1"/>
    <col min="16" max="18" width="9" style="49" customWidth="1"/>
    <col min="19" max="19" width="8.140625" style="49" customWidth="1"/>
    <col min="20" max="20" width="3.5703125" style="49" customWidth="1"/>
    <col min="21" max="16384" width="9.140625" style="49"/>
  </cols>
  <sheetData>
    <row r="1" spans="1:20" s="104" customFormat="1" ht="27.75">
      <c r="A1" s="284" t="s">
        <v>21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</row>
    <row r="2" spans="1:20" s="104" customFormat="1" ht="24">
      <c r="A2" s="289" t="s">
        <v>10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</row>
    <row r="3" spans="1:20" s="104" customFormat="1" ht="24">
      <c r="A3" s="289" t="s">
        <v>22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</row>
    <row r="4" spans="1:20" s="104" customFormat="1" ht="24">
      <c r="A4" s="290" t="s">
        <v>19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</row>
    <row r="5" spans="1:20" ht="21.75" customHeight="1">
      <c r="A5" s="39" t="s">
        <v>0</v>
      </c>
      <c r="B5" s="39" t="s">
        <v>1</v>
      </c>
      <c r="C5" s="105" t="s">
        <v>2</v>
      </c>
      <c r="D5" s="106" t="s">
        <v>4</v>
      </c>
      <c r="E5" s="291" t="s">
        <v>38</v>
      </c>
      <c r="F5" s="293"/>
      <c r="G5" s="286" t="s">
        <v>39</v>
      </c>
      <c r="H5" s="287"/>
      <c r="I5" s="288"/>
      <c r="J5" s="286" t="s">
        <v>44</v>
      </c>
      <c r="K5" s="287"/>
      <c r="L5" s="288"/>
      <c r="M5" s="291" t="s">
        <v>7</v>
      </c>
      <c r="N5" s="292"/>
      <c r="O5" s="293"/>
      <c r="P5" s="286" t="s">
        <v>6</v>
      </c>
      <c r="Q5" s="287"/>
      <c r="R5" s="288"/>
      <c r="S5" s="39" t="s">
        <v>42</v>
      </c>
    </row>
    <row r="6" spans="1:20" ht="21.75" customHeight="1">
      <c r="A6" s="46"/>
      <c r="B6" s="46"/>
      <c r="C6" s="109" t="s">
        <v>3</v>
      </c>
      <c r="D6" s="110" t="s">
        <v>5</v>
      </c>
      <c r="E6" s="294"/>
      <c r="F6" s="296"/>
      <c r="G6" s="276" t="s">
        <v>40</v>
      </c>
      <c r="H6" s="277"/>
      <c r="I6" s="278"/>
      <c r="J6" s="276" t="s">
        <v>45</v>
      </c>
      <c r="K6" s="277"/>
      <c r="L6" s="278"/>
      <c r="M6" s="294"/>
      <c r="N6" s="295"/>
      <c r="O6" s="296"/>
      <c r="P6" s="111"/>
      <c r="Q6" s="84"/>
      <c r="R6" s="112"/>
      <c r="S6" s="41"/>
    </row>
    <row r="7" spans="1:20" ht="21.75" customHeight="1">
      <c r="A7" s="40"/>
      <c r="B7" s="40"/>
      <c r="C7" s="113"/>
      <c r="D7" s="40"/>
      <c r="E7" s="114" t="s">
        <v>43</v>
      </c>
      <c r="F7" s="114" t="s">
        <v>41</v>
      </c>
      <c r="G7" s="74">
        <v>2555</v>
      </c>
      <c r="H7" s="74">
        <v>2556</v>
      </c>
      <c r="I7" s="74">
        <v>2557</v>
      </c>
      <c r="J7" s="74">
        <v>2555</v>
      </c>
      <c r="K7" s="74">
        <v>2556</v>
      </c>
      <c r="L7" s="74">
        <v>2557</v>
      </c>
      <c r="M7" s="74">
        <v>2555</v>
      </c>
      <c r="N7" s="74">
        <v>2556</v>
      </c>
      <c r="O7" s="74">
        <v>2557</v>
      </c>
      <c r="P7" s="74">
        <v>2555</v>
      </c>
      <c r="Q7" s="74">
        <v>2556</v>
      </c>
      <c r="R7" s="74">
        <v>2557</v>
      </c>
      <c r="S7" s="45"/>
    </row>
    <row r="8" spans="1:20">
      <c r="A8" s="107">
        <v>1</v>
      </c>
      <c r="B8" s="108" t="s">
        <v>11</v>
      </c>
      <c r="C8" s="86"/>
      <c r="D8" s="87">
        <f>สำนักปลัด!D35</f>
        <v>46</v>
      </c>
      <c r="E8" s="130">
        <v>19</v>
      </c>
      <c r="F8" s="89">
        <f>สำนักปลัด!F35</f>
        <v>8008680</v>
      </c>
      <c r="G8" s="87">
        <f>สำนักปลัด!G35</f>
        <v>45</v>
      </c>
      <c r="H8" s="89">
        <f>สำนักปลัด!H35</f>
        <v>46</v>
      </c>
      <c r="I8" s="90">
        <f>สำนักปลัด!I35</f>
        <v>46</v>
      </c>
      <c r="J8" s="91">
        <f>สำนักปลัด!J35</f>
        <v>5</v>
      </c>
      <c r="K8" s="92">
        <f>สำนักปลัด!K35</f>
        <v>1</v>
      </c>
      <c r="L8" s="93" t="str">
        <f>สำนักปลัด!L35</f>
        <v xml:space="preserve"> -</v>
      </c>
      <c r="M8" s="93">
        <f>สำนักปลัด!M35</f>
        <v>1063620</v>
      </c>
      <c r="N8" s="88">
        <f>สำนักปลัด!N35</f>
        <v>380340</v>
      </c>
      <c r="O8" s="87">
        <f>สำนักปลัด!O35</f>
        <v>282096</v>
      </c>
      <c r="P8" s="87">
        <f>สำนักปลัด!P35</f>
        <v>9072300</v>
      </c>
      <c r="Q8" s="87">
        <f>สำนักปลัด!Q35</f>
        <v>9452640</v>
      </c>
      <c r="R8" s="87">
        <f>สำนักปลัด!R35</f>
        <v>9734736</v>
      </c>
      <c r="S8" s="39"/>
    </row>
    <row r="9" spans="1:20">
      <c r="A9" s="115">
        <v>2</v>
      </c>
      <c r="B9" s="116" t="s">
        <v>12</v>
      </c>
      <c r="C9" s="86"/>
      <c r="D9" s="94" t="e">
        <f>สำนักปลัด!#REF!</f>
        <v>#REF!</v>
      </c>
      <c r="E9" s="131" t="e">
        <f>สำนักปลัด!#REF!</f>
        <v>#REF!</v>
      </c>
      <c r="F9" s="71" t="e">
        <f>สำนักปลัด!#REF!</f>
        <v>#REF!</v>
      </c>
      <c r="G9" s="94" t="e">
        <f>สำนักปลัด!#REF!</f>
        <v>#REF!</v>
      </c>
      <c r="H9" s="71" t="e">
        <f>สำนักปลัด!#REF!</f>
        <v>#REF!</v>
      </c>
      <c r="I9" s="93" t="e">
        <f>สำนักปลัด!#REF!</f>
        <v>#REF!</v>
      </c>
      <c r="J9" s="95" t="e">
        <f>สำนักปลัด!#REF!</f>
        <v>#REF!</v>
      </c>
      <c r="K9" s="96" t="e">
        <f>สำนักปลัด!#REF!</f>
        <v>#REF!</v>
      </c>
      <c r="L9" s="93" t="e">
        <f>สำนักปลัด!#REF!</f>
        <v>#REF!</v>
      </c>
      <c r="M9" s="93" t="e">
        <f>สำนักปลัด!#REF!</f>
        <v>#REF!</v>
      </c>
      <c r="N9" s="88" t="e">
        <f>สำนักปลัด!#REF!</f>
        <v>#REF!</v>
      </c>
      <c r="O9" s="94" t="e">
        <f>สำนักปลัด!#REF!</f>
        <v>#REF!</v>
      </c>
      <c r="P9" s="94" t="e">
        <f>สำนักปลัด!#REF!</f>
        <v>#REF!</v>
      </c>
      <c r="Q9" s="94" t="e">
        <f>สำนักปลัด!#REF!</f>
        <v>#REF!</v>
      </c>
      <c r="R9" s="94" t="e">
        <f>สำนักปลัด!#REF!</f>
        <v>#REF!</v>
      </c>
      <c r="S9" s="46"/>
    </row>
    <row r="10" spans="1:20">
      <c r="A10" s="115">
        <v>3</v>
      </c>
      <c r="B10" s="116" t="s">
        <v>13</v>
      </c>
      <c r="C10" s="86"/>
      <c r="D10" s="94" t="e">
        <f>สำนักปลัด!#REF!</f>
        <v>#REF!</v>
      </c>
      <c r="E10" s="133" t="e">
        <f>สำนักปลัด!#REF!</f>
        <v>#REF!</v>
      </c>
      <c r="F10" s="71" t="e">
        <f>สำนักปลัด!#REF!</f>
        <v>#REF!</v>
      </c>
      <c r="G10" s="94" t="e">
        <f>สำนักปลัด!#REF!</f>
        <v>#REF!</v>
      </c>
      <c r="H10" s="71" t="e">
        <f>สำนักปลัด!#REF!</f>
        <v>#REF!</v>
      </c>
      <c r="I10" s="93" t="e">
        <f>สำนักปลัด!#REF!</f>
        <v>#REF!</v>
      </c>
      <c r="J10" s="95" t="e">
        <f>สำนักปลัด!#REF!</f>
        <v>#REF!</v>
      </c>
      <c r="K10" s="96" t="e">
        <f>สำนักปลัด!#REF!</f>
        <v>#REF!</v>
      </c>
      <c r="L10" s="93" t="e">
        <f>สำนักปลัด!#REF!</f>
        <v>#REF!</v>
      </c>
      <c r="M10" s="93" t="e">
        <f>สำนักปลัด!#REF!</f>
        <v>#REF!</v>
      </c>
      <c r="N10" s="88" t="e">
        <f>สำนักปลัด!#REF!</f>
        <v>#REF!</v>
      </c>
      <c r="O10" s="94" t="e">
        <f>สำนักปลัด!#REF!</f>
        <v>#REF!</v>
      </c>
      <c r="P10" s="94" t="e">
        <f>สำนักปลัด!#REF!</f>
        <v>#REF!</v>
      </c>
      <c r="Q10" s="94" t="e">
        <f>สำนักปลัด!#REF!</f>
        <v>#REF!</v>
      </c>
      <c r="R10" s="94" t="e">
        <f>สำนักปลัด!#REF!</f>
        <v>#REF!</v>
      </c>
      <c r="S10" s="46"/>
    </row>
    <row r="11" spans="1:20">
      <c r="A11" s="115">
        <v>4</v>
      </c>
      <c r="B11" s="116" t="s">
        <v>14</v>
      </c>
      <c r="C11" s="86"/>
      <c r="D11" s="94" t="e">
        <f>สำนักปลัด!#REF!</f>
        <v>#REF!</v>
      </c>
      <c r="E11" s="133" t="e">
        <f>สำนักปลัด!#REF!</f>
        <v>#REF!</v>
      </c>
      <c r="F11" s="71" t="e">
        <f>สำนักปลัด!#REF!</f>
        <v>#REF!</v>
      </c>
      <c r="G11" s="94" t="e">
        <f>สำนักปลัด!#REF!</f>
        <v>#REF!</v>
      </c>
      <c r="H11" s="71" t="e">
        <f>สำนักปลัด!#REF!</f>
        <v>#REF!</v>
      </c>
      <c r="I11" s="93" t="e">
        <f>สำนักปลัด!#REF!</f>
        <v>#REF!</v>
      </c>
      <c r="J11" s="95" t="e">
        <f>สำนักปลัด!#REF!</f>
        <v>#REF!</v>
      </c>
      <c r="K11" s="96" t="e">
        <f>สำนักปลัด!#REF!</f>
        <v>#REF!</v>
      </c>
      <c r="L11" s="93" t="e">
        <f>สำนักปลัด!#REF!</f>
        <v>#REF!</v>
      </c>
      <c r="M11" s="93" t="e">
        <f>สำนักปลัด!#REF!</f>
        <v>#REF!</v>
      </c>
      <c r="N11" s="88" t="e">
        <f>สำนักปลัด!#REF!</f>
        <v>#REF!</v>
      </c>
      <c r="O11" s="94" t="e">
        <f>สำนักปลัด!#REF!</f>
        <v>#REF!</v>
      </c>
      <c r="P11" s="94" t="e">
        <f>สำนักปลัด!#REF!</f>
        <v>#REF!</v>
      </c>
      <c r="Q11" s="94" t="e">
        <f>สำนักปลัด!#REF!</f>
        <v>#REF!</v>
      </c>
      <c r="R11" s="94" t="e">
        <f>สำนักปลัด!#REF!</f>
        <v>#REF!</v>
      </c>
      <c r="S11" s="46"/>
    </row>
    <row r="12" spans="1:20">
      <c r="A12" s="115">
        <v>5</v>
      </c>
      <c r="B12" s="116" t="s">
        <v>23</v>
      </c>
      <c r="C12" s="86"/>
      <c r="D12" s="94" t="e">
        <f>สำนักปลัด!#REF!</f>
        <v>#REF!</v>
      </c>
      <c r="E12" s="133" t="e">
        <f>สำนักปลัด!#REF!</f>
        <v>#REF!</v>
      </c>
      <c r="F12" s="71" t="e">
        <f>สำนักปลัด!#REF!</f>
        <v>#REF!</v>
      </c>
      <c r="G12" s="94" t="e">
        <f>สำนักปลัด!#REF!</f>
        <v>#REF!</v>
      </c>
      <c r="H12" s="71" t="e">
        <f>สำนักปลัด!#REF!</f>
        <v>#REF!</v>
      </c>
      <c r="I12" s="93" t="e">
        <f>สำนักปลัด!#REF!</f>
        <v>#REF!</v>
      </c>
      <c r="J12" s="95" t="e">
        <f>สำนักปลัด!#REF!</f>
        <v>#REF!</v>
      </c>
      <c r="K12" s="96" t="e">
        <f>สำนักปลัด!#REF!</f>
        <v>#REF!</v>
      </c>
      <c r="L12" s="93" t="e">
        <f>สำนักปลัด!#REF!</f>
        <v>#REF!</v>
      </c>
      <c r="M12" s="93" t="e">
        <f>สำนักปลัด!#REF!</f>
        <v>#REF!</v>
      </c>
      <c r="N12" s="88" t="e">
        <f>สำนักปลัด!#REF!</f>
        <v>#REF!</v>
      </c>
      <c r="O12" s="94" t="e">
        <f>สำนักปลัด!#REF!</f>
        <v>#REF!</v>
      </c>
      <c r="P12" s="94" t="e">
        <f>สำนักปลัด!#REF!</f>
        <v>#REF!</v>
      </c>
      <c r="Q12" s="94" t="e">
        <f>สำนักปลัด!#REF!</f>
        <v>#REF!</v>
      </c>
      <c r="R12" s="94" t="e">
        <f>สำนักปลัด!#REF!</f>
        <v>#REF!</v>
      </c>
      <c r="S12" s="46"/>
    </row>
    <row r="13" spans="1:20" ht="21" customHeight="1">
      <c r="A13" s="115">
        <v>6</v>
      </c>
      <c r="B13" s="116" t="s">
        <v>15</v>
      </c>
      <c r="C13" s="86"/>
      <c r="D13" s="94" t="e">
        <f>สำนักปลัด!#REF!</f>
        <v>#REF!</v>
      </c>
      <c r="E13" s="134" t="e">
        <f>สำนักปลัด!#REF!</f>
        <v>#REF!</v>
      </c>
      <c r="F13" s="71" t="e">
        <f>สำนักปลัด!#REF!</f>
        <v>#REF!</v>
      </c>
      <c r="G13" s="94" t="e">
        <f>สำนักปลัด!#REF!</f>
        <v>#REF!</v>
      </c>
      <c r="H13" s="71" t="e">
        <f>สำนักปลัด!#REF!</f>
        <v>#REF!</v>
      </c>
      <c r="I13" s="93" t="e">
        <f>สำนักปลัด!#REF!</f>
        <v>#REF!</v>
      </c>
      <c r="J13" s="95" t="e">
        <f>สำนักปลัด!#REF!</f>
        <v>#REF!</v>
      </c>
      <c r="K13" s="96" t="e">
        <f>สำนักปลัด!#REF!</f>
        <v>#REF!</v>
      </c>
      <c r="L13" s="93" t="e">
        <f>สำนักปลัด!#REF!</f>
        <v>#REF!</v>
      </c>
      <c r="M13" s="93" t="e">
        <f>สำนักปลัด!#REF!</f>
        <v>#REF!</v>
      </c>
      <c r="N13" s="88" t="e">
        <f>สำนักปลัด!#REF!</f>
        <v>#REF!</v>
      </c>
      <c r="O13" s="94" t="e">
        <f>สำนักปลัด!#REF!</f>
        <v>#REF!</v>
      </c>
      <c r="P13" s="94" t="e">
        <f>สำนักปลัด!#REF!</f>
        <v>#REF!</v>
      </c>
      <c r="Q13" s="94" t="e">
        <f>สำนักปลัด!#REF!</f>
        <v>#REF!</v>
      </c>
      <c r="R13" s="94" t="e">
        <f>สำนักปลัด!#REF!</f>
        <v>#REF!</v>
      </c>
      <c r="S13" s="46"/>
      <c r="T13" s="85" t="s">
        <v>53</v>
      </c>
    </row>
    <row r="14" spans="1:20">
      <c r="A14" s="115">
        <v>7</v>
      </c>
      <c r="B14" s="116" t="s">
        <v>16</v>
      </c>
      <c r="C14" s="86"/>
      <c r="D14" s="94" t="e">
        <f>สำนักปลัด!#REF!</f>
        <v>#REF!</v>
      </c>
      <c r="E14" s="134" t="e">
        <f>สำนักปลัด!#REF!</f>
        <v>#REF!</v>
      </c>
      <c r="F14" s="71" t="e">
        <f>สำนักปลัด!#REF!</f>
        <v>#REF!</v>
      </c>
      <c r="G14" s="94" t="e">
        <f>สำนักปลัด!#REF!</f>
        <v>#REF!</v>
      </c>
      <c r="H14" s="71" t="e">
        <f>สำนักปลัด!#REF!</f>
        <v>#REF!</v>
      </c>
      <c r="I14" s="93" t="e">
        <f>สำนักปลัด!#REF!</f>
        <v>#REF!</v>
      </c>
      <c r="J14" s="95" t="e">
        <f>สำนักปลัด!#REF!</f>
        <v>#REF!</v>
      </c>
      <c r="K14" s="96" t="e">
        <f>สำนักปลัด!#REF!</f>
        <v>#REF!</v>
      </c>
      <c r="L14" s="93" t="e">
        <f>สำนักปลัด!#REF!</f>
        <v>#REF!</v>
      </c>
      <c r="M14" s="93" t="e">
        <f>สำนักปลัด!#REF!</f>
        <v>#REF!</v>
      </c>
      <c r="N14" s="88" t="e">
        <f>สำนักปลัด!#REF!</f>
        <v>#REF!</v>
      </c>
      <c r="O14" s="94" t="e">
        <f>สำนักปลัด!#REF!</f>
        <v>#REF!</v>
      </c>
      <c r="P14" s="94" t="e">
        <f>สำนักปลัด!#REF!</f>
        <v>#REF!</v>
      </c>
      <c r="Q14" s="94" t="e">
        <f>สำนักปลัด!#REF!</f>
        <v>#REF!</v>
      </c>
      <c r="R14" s="94" t="e">
        <f>สำนักปลัด!#REF!</f>
        <v>#REF!</v>
      </c>
      <c r="S14" s="46"/>
    </row>
    <row r="15" spans="1:20">
      <c r="A15" s="83">
        <v>8</v>
      </c>
      <c r="B15" s="111" t="s">
        <v>17</v>
      </c>
      <c r="C15" s="98"/>
      <c r="D15" s="43" t="e">
        <f>สำนักปลัด!#REF!</f>
        <v>#REF!</v>
      </c>
      <c r="E15" s="135" t="e">
        <f>สำนักปลัด!#REF!</f>
        <v>#REF!</v>
      </c>
      <c r="F15" s="100" t="e">
        <f>สำนักปลัด!#REF!</f>
        <v>#REF!</v>
      </c>
      <c r="G15" s="43" t="e">
        <f>สำนักปลัด!#REF!</f>
        <v>#REF!</v>
      </c>
      <c r="H15" s="100" t="e">
        <f>สำนักปลัด!#REF!</f>
        <v>#REF!</v>
      </c>
      <c r="I15" s="99" t="e">
        <f>สำนักปลัด!#REF!</f>
        <v>#REF!</v>
      </c>
      <c r="J15" s="127" t="e">
        <f>สำนักปลัด!#REF!</f>
        <v>#REF!</v>
      </c>
      <c r="K15" s="128" t="e">
        <f>สำนักปลัด!#REF!</f>
        <v>#REF!</v>
      </c>
      <c r="L15" s="93" t="e">
        <f>สำนักปลัด!#REF!</f>
        <v>#REF!</v>
      </c>
      <c r="M15" s="93" t="e">
        <f>สำนักปลัด!#REF!</f>
        <v>#REF!</v>
      </c>
      <c r="N15" s="88" t="e">
        <f>สำนักปลัด!#REF!</f>
        <v>#REF!</v>
      </c>
      <c r="O15" s="94" t="e">
        <f>สำนักปลัด!#REF!</f>
        <v>#REF!</v>
      </c>
      <c r="P15" s="94" t="e">
        <f>สำนักปลัด!#REF!</f>
        <v>#REF!</v>
      </c>
      <c r="Q15" s="94" t="e">
        <f>สำนักปลัด!#REF!</f>
        <v>#REF!</v>
      </c>
      <c r="R15" s="94" t="e">
        <f>สำนักปลัด!#REF!</f>
        <v>#REF!</v>
      </c>
      <c r="S15" s="46"/>
    </row>
    <row r="16" spans="1:20" s="119" customFormat="1">
      <c r="A16" s="117"/>
      <c r="B16" s="118" t="s">
        <v>9</v>
      </c>
      <c r="C16" s="47"/>
      <c r="D16" s="47" t="e">
        <f>SUM(D8:D15)</f>
        <v>#REF!</v>
      </c>
      <c r="E16" s="47" t="e">
        <f t="shared" ref="E16:R16" si="0">SUM(E8:E15)</f>
        <v>#REF!</v>
      </c>
      <c r="F16" s="47" t="e">
        <f t="shared" si="0"/>
        <v>#REF!</v>
      </c>
      <c r="G16" s="47" t="e">
        <f t="shared" si="0"/>
        <v>#REF!</v>
      </c>
      <c r="H16" s="47" t="e">
        <f t="shared" si="0"/>
        <v>#REF!</v>
      </c>
      <c r="I16" s="47" t="e">
        <f t="shared" si="0"/>
        <v>#REF!</v>
      </c>
      <c r="J16" s="47" t="e">
        <f>สำนักปลัด!#REF!</f>
        <v>#REF!</v>
      </c>
      <c r="K16" s="47" t="e">
        <f>สำนักปลัด!#REF!</f>
        <v>#REF!</v>
      </c>
      <c r="L16" s="47" t="e">
        <f>สำนักปลัด!#REF!</f>
        <v>#REF!</v>
      </c>
      <c r="M16" s="47" t="e">
        <f t="shared" si="0"/>
        <v>#REF!</v>
      </c>
      <c r="N16" s="47" t="e">
        <f t="shared" si="0"/>
        <v>#REF!</v>
      </c>
      <c r="O16" s="47" t="e">
        <f t="shared" si="0"/>
        <v>#REF!</v>
      </c>
      <c r="P16" s="47" t="e">
        <f>SUM(P8:P15)</f>
        <v>#REF!</v>
      </c>
      <c r="Q16" s="47" t="e">
        <f t="shared" si="0"/>
        <v>#REF!</v>
      </c>
      <c r="R16" s="47" t="e">
        <f t="shared" si="0"/>
        <v>#REF!</v>
      </c>
      <c r="S16" s="47"/>
    </row>
    <row r="17" spans="1:19">
      <c r="A17" s="120"/>
      <c r="B17" s="49" t="s">
        <v>49</v>
      </c>
      <c r="C17" s="74"/>
      <c r="D17" s="74"/>
      <c r="E17" s="132"/>
      <c r="F17" s="74"/>
      <c r="G17" s="74"/>
      <c r="H17" s="74"/>
      <c r="I17" s="75"/>
      <c r="J17" s="101"/>
      <c r="K17" s="75"/>
      <c r="L17" s="75"/>
      <c r="M17" s="75"/>
      <c r="N17" s="75"/>
      <c r="O17" s="74"/>
      <c r="P17" s="47" t="e">
        <f>P16*20/100</f>
        <v>#REF!</v>
      </c>
      <c r="Q17" s="47" t="e">
        <f>Q16*20/100</f>
        <v>#REF!</v>
      </c>
      <c r="R17" s="47" t="e">
        <f>R16*20/100</f>
        <v>#REF!</v>
      </c>
      <c r="S17" s="74"/>
    </row>
    <row r="18" spans="1:19">
      <c r="A18" s="120"/>
      <c r="B18" s="121" t="s">
        <v>24</v>
      </c>
      <c r="C18" s="74"/>
      <c r="D18" s="74"/>
      <c r="E18" s="132"/>
      <c r="F18" s="74"/>
      <c r="G18" s="74"/>
      <c r="H18" s="74"/>
      <c r="I18" s="75"/>
      <c r="J18" s="101"/>
      <c r="K18" s="75"/>
      <c r="L18" s="75"/>
      <c r="M18" s="75"/>
      <c r="N18" s="75"/>
      <c r="O18" s="74"/>
      <c r="P18" s="47">
        <v>21755160</v>
      </c>
      <c r="Q18" s="47">
        <v>21755160</v>
      </c>
      <c r="R18" s="47">
        <v>21755160</v>
      </c>
      <c r="S18" s="74"/>
    </row>
    <row r="19" spans="1:19">
      <c r="A19" s="120"/>
      <c r="B19" s="121" t="s">
        <v>54</v>
      </c>
      <c r="C19" s="74"/>
      <c r="D19" s="74"/>
      <c r="E19" s="132"/>
      <c r="F19" s="74"/>
      <c r="G19" s="74"/>
      <c r="H19" s="74"/>
      <c r="I19" s="75"/>
      <c r="J19" s="101"/>
      <c r="K19" s="75"/>
      <c r="L19" s="75"/>
      <c r="M19" s="75"/>
      <c r="N19" s="75"/>
      <c r="O19" s="74"/>
      <c r="P19" s="47" t="e">
        <f>P16+P17+P18</f>
        <v>#REF!</v>
      </c>
      <c r="Q19" s="47" t="e">
        <f>Q16+Q17+Q18</f>
        <v>#REF!</v>
      </c>
      <c r="R19" s="47" t="e">
        <f>R16+R17+R18</f>
        <v>#REF!</v>
      </c>
      <c r="S19" s="74"/>
    </row>
    <row r="20" spans="1:19">
      <c r="A20" s="120"/>
      <c r="B20" s="121" t="s">
        <v>36</v>
      </c>
      <c r="C20" s="74"/>
      <c r="D20" s="74"/>
      <c r="E20" s="132"/>
      <c r="F20" s="74"/>
      <c r="G20" s="74"/>
      <c r="H20" s="74"/>
      <c r="I20" s="75"/>
      <c r="J20" s="101"/>
      <c r="K20" s="75"/>
      <c r="L20" s="75"/>
      <c r="M20" s="75"/>
      <c r="N20" s="75"/>
      <c r="O20" s="74"/>
      <c r="P20" s="47">
        <v>117882050</v>
      </c>
      <c r="Q20" s="47">
        <f>P20*10/100+P20</f>
        <v>129670255</v>
      </c>
      <c r="R20" s="47">
        <f>Q20*10/100+Q20</f>
        <v>142637280.5</v>
      </c>
      <c r="S20" s="74"/>
    </row>
    <row r="21" spans="1:19">
      <c r="A21" s="120"/>
      <c r="B21" s="121" t="s">
        <v>55</v>
      </c>
      <c r="C21" s="103"/>
      <c r="D21" s="74"/>
      <c r="E21" s="132"/>
      <c r="F21" s="74"/>
      <c r="G21" s="74"/>
      <c r="H21" s="74"/>
      <c r="I21" s="75"/>
      <c r="J21" s="101"/>
      <c r="K21" s="75"/>
      <c r="L21" s="102"/>
      <c r="M21" s="102"/>
      <c r="N21" s="102"/>
      <c r="O21" s="74"/>
      <c r="P21" s="136" t="e">
        <f>P19*100/P20</f>
        <v>#REF!</v>
      </c>
      <c r="Q21" s="136" t="e">
        <f>Q19*100/Q20</f>
        <v>#REF!</v>
      </c>
      <c r="R21" s="136" t="e">
        <f>R19*100/R20</f>
        <v>#REF!</v>
      </c>
      <c r="S21" s="74"/>
    </row>
    <row r="22" spans="1:19">
      <c r="A22" s="44"/>
      <c r="C22" s="122"/>
      <c r="D22" s="44"/>
      <c r="E22" s="95"/>
      <c r="F22" s="44"/>
      <c r="G22" s="44"/>
      <c r="H22" s="44"/>
      <c r="I22" s="97"/>
      <c r="J22" s="97"/>
      <c r="K22" s="123"/>
      <c r="L22" s="123" t="e">
        <f>SUM(L16:L18)</f>
        <v>#REF!</v>
      </c>
      <c r="M22" s="123" t="e">
        <f>SUM(M16:M18)</f>
        <v>#REF!</v>
      </c>
      <c r="N22" s="123" t="e">
        <f>SUM(N16:N18)</f>
        <v>#REF!</v>
      </c>
    </row>
    <row r="23" spans="1:19">
      <c r="A23" s="44"/>
      <c r="B23" s="48"/>
      <c r="C23" s="44"/>
      <c r="D23" s="44"/>
      <c r="E23" s="95"/>
      <c r="F23" s="44"/>
      <c r="G23" s="44"/>
      <c r="H23" s="44"/>
      <c r="I23" s="97"/>
      <c r="J23" s="124"/>
      <c r="K23" s="125"/>
      <c r="L23" s="123">
        <v>102274700</v>
      </c>
      <c r="M23" s="123">
        <f>(L23*10/100)+L23</f>
        <v>112502170</v>
      </c>
      <c r="N23" s="123">
        <f>(M23*10/100)+M23</f>
        <v>123752387</v>
      </c>
    </row>
    <row r="25" spans="1:19">
      <c r="A25" s="281" t="s">
        <v>52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</row>
    <row r="27" spans="1:19" s="104" customFormat="1" ht="27.75">
      <c r="A27" s="283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</row>
    <row r="28" spans="1:19" s="104" customFormat="1" ht="27.75">
      <c r="A28" s="284"/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</row>
    <row r="29" spans="1:19" s="104" customFormat="1" ht="27.75">
      <c r="A29" s="285"/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</row>
    <row r="30" spans="1:19" s="104" customFormat="1" ht="24">
      <c r="A30" s="282"/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</row>
    <row r="31" spans="1:19" ht="24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</row>
    <row r="32" spans="1:19">
      <c r="A32" s="44"/>
      <c r="B32" s="44"/>
      <c r="C32" s="44"/>
      <c r="D32" s="48"/>
      <c r="E32" s="44"/>
      <c r="F32" s="48"/>
      <c r="G32" s="44"/>
      <c r="H32" s="48"/>
      <c r="I32" s="48"/>
      <c r="J32" s="44"/>
      <c r="K32" s="48"/>
      <c r="L32" s="48"/>
      <c r="M32" s="44"/>
      <c r="N32" s="48"/>
    </row>
    <row r="33" spans="1:14">
      <c r="A33" s="44"/>
      <c r="B33" s="44"/>
      <c r="C33" s="44">
        <v>33540</v>
      </c>
      <c r="D33" s="44">
        <f>33540*4/100</f>
        <v>1341.6</v>
      </c>
      <c r="E33" s="44">
        <v>1341</v>
      </c>
      <c r="F33" s="44">
        <f>1341*12</f>
        <v>16092</v>
      </c>
      <c r="G33" s="44"/>
      <c r="H33" s="44"/>
      <c r="I33" s="44"/>
      <c r="J33" s="44"/>
      <c r="K33" s="44"/>
      <c r="L33" s="44"/>
      <c r="M33" s="44"/>
      <c r="N33" s="44"/>
    </row>
    <row r="34" spans="1:14">
      <c r="A34" s="44"/>
      <c r="B34" s="48"/>
      <c r="C34" s="44"/>
      <c r="D34" s="44">
        <f>SUM(C33:D33)</f>
        <v>34881.599999999999</v>
      </c>
      <c r="E34" s="95"/>
      <c r="F34" s="71"/>
      <c r="G34" s="44"/>
      <c r="H34" s="44"/>
      <c r="I34" s="95"/>
      <c r="J34" s="95"/>
      <c r="K34" s="95"/>
      <c r="L34" s="97"/>
      <c r="M34" s="95"/>
      <c r="N34" s="95"/>
    </row>
    <row r="35" spans="1:14">
      <c r="A35" s="44"/>
      <c r="B35" s="48"/>
      <c r="C35" s="44"/>
      <c r="D35" s="44"/>
      <c r="E35" s="95"/>
      <c r="F35" s="44"/>
      <c r="G35" s="44"/>
      <c r="H35" s="44"/>
      <c r="I35" s="97"/>
      <c r="J35" s="95"/>
      <c r="K35" s="95"/>
      <c r="L35" s="95"/>
      <c r="M35" s="95"/>
      <c r="N35" s="95"/>
    </row>
    <row r="36" spans="1:14">
      <c r="A36" s="44"/>
      <c r="B36" s="48"/>
      <c r="C36" s="44"/>
      <c r="D36" s="44"/>
      <c r="E36" s="95"/>
      <c r="F36" s="44"/>
      <c r="G36" s="44"/>
      <c r="H36" s="44"/>
      <c r="I36" s="97"/>
      <c r="J36" s="95"/>
      <c r="K36" s="95"/>
      <c r="L36" s="97"/>
      <c r="M36" s="95"/>
      <c r="N36" s="95"/>
    </row>
    <row r="37" spans="1:14">
      <c r="A37" s="44"/>
      <c r="B37" s="48"/>
      <c r="C37" s="44"/>
      <c r="D37" s="44"/>
      <c r="E37" s="95"/>
      <c r="F37" s="44"/>
      <c r="G37" s="44"/>
      <c r="H37" s="44"/>
      <c r="I37" s="95"/>
      <c r="J37" s="95"/>
      <c r="K37" s="95"/>
      <c r="L37" s="95"/>
      <c r="M37" s="95"/>
      <c r="N37" s="95"/>
    </row>
    <row r="38" spans="1:14">
      <c r="A38" s="44"/>
      <c r="B38" s="48"/>
      <c r="C38" s="44"/>
      <c r="D38" s="44"/>
      <c r="E38" s="95"/>
      <c r="F38" s="44"/>
      <c r="G38" s="44"/>
      <c r="H38" s="44"/>
      <c r="I38" s="97"/>
      <c r="J38" s="95"/>
      <c r="K38" s="95"/>
      <c r="L38" s="97"/>
      <c r="M38" s="95"/>
      <c r="N38" s="95"/>
    </row>
    <row r="39" spans="1:14">
      <c r="A39" s="44"/>
      <c r="B39" s="48"/>
      <c r="C39" s="44"/>
      <c r="D39" s="44"/>
      <c r="E39" s="95"/>
      <c r="F39" s="44"/>
      <c r="G39" s="44"/>
      <c r="H39" s="44"/>
      <c r="I39" s="97"/>
      <c r="J39" s="97"/>
      <c r="K39" s="95"/>
      <c r="L39" s="97"/>
      <c r="M39" s="97"/>
      <c r="N39" s="95"/>
    </row>
    <row r="40" spans="1:14">
      <c r="A40" s="44"/>
      <c r="B40" s="48"/>
      <c r="C40" s="44"/>
      <c r="D40" s="44"/>
      <c r="E40" s="95"/>
      <c r="F40" s="44"/>
      <c r="G40" s="44"/>
      <c r="H40" s="44"/>
      <c r="I40" s="97"/>
      <c r="J40" s="97"/>
      <c r="K40" s="97"/>
      <c r="L40" s="97"/>
      <c r="M40" s="97"/>
      <c r="N40" s="97"/>
    </row>
    <row r="41" spans="1:14">
      <c r="A41" s="44"/>
      <c r="B41" s="48"/>
      <c r="C41" s="44"/>
      <c r="D41" s="44"/>
      <c r="E41" s="95"/>
      <c r="F41" s="44"/>
      <c r="G41" s="44"/>
      <c r="H41" s="44"/>
      <c r="I41" s="97"/>
      <c r="J41" s="97"/>
      <c r="K41" s="97"/>
      <c r="L41" s="97"/>
      <c r="M41" s="97"/>
      <c r="N41" s="97"/>
    </row>
    <row r="42" spans="1:14">
      <c r="A42" s="44"/>
      <c r="B42" s="48"/>
      <c r="C42" s="122"/>
      <c r="D42" s="44"/>
      <c r="E42" s="95"/>
      <c r="F42" s="44"/>
      <c r="G42" s="44"/>
      <c r="H42" s="44"/>
      <c r="I42" s="97"/>
      <c r="J42" s="97"/>
      <c r="K42" s="97"/>
      <c r="L42" s="97"/>
      <c r="M42" s="97"/>
      <c r="N42" s="97"/>
    </row>
    <row r="43" spans="1:14">
      <c r="A43" s="44"/>
      <c r="B43" s="48"/>
      <c r="C43" s="44"/>
      <c r="D43" s="44"/>
      <c r="E43" s="95"/>
      <c r="F43" s="44"/>
      <c r="G43" s="44"/>
      <c r="H43" s="44"/>
      <c r="I43" s="97"/>
      <c r="J43" s="97"/>
      <c r="K43" s="97"/>
      <c r="L43" s="97"/>
      <c r="M43" s="97"/>
      <c r="N43" s="97"/>
    </row>
    <row r="44" spans="1:14">
      <c r="A44" s="44"/>
      <c r="B44" s="48"/>
      <c r="C44" s="44"/>
      <c r="D44" s="44"/>
      <c r="E44" s="95"/>
      <c r="F44" s="44"/>
      <c r="G44" s="44"/>
      <c r="H44" s="44"/>
      <c r="I44" s="97"/>
      <c r="J44" s="97"/>
      <c r="K44" s="97"/>
      <c r="L44" s="97"/>
      <c r="M44" s="97"/>
      <c r="N44" s="97"/>
    </row>
    <row r="45" spans="1:14">
      <c r="A45" s="44"/>
      <c r="B45" s="48"/>
      <c r="C45" s="122"/>
      <c r="D45" s="44"/>
      <c r="E45" s="95"/>
      <c r="F45" s="44"/>
      <c r="G45" s="44"/>
      <c r="H45" s="44"/>
      <c r="I45" s="97"/>
      <c r="J45" s="97"/>
      <c r="K45" s="97"/>
      <c r="L45" s="97"/>
      <c r="M45" s="97"/>
      <c r="N45" s="97"/>
    </row>
    <row r="46" spans="1:14">
      <c r="A46" s="44"/>
      <c r="B46" s="48"/>
      <c r="C46" s="44"/>
      <c r="D46" s="44"/>
      <c r="E46" s="95"/>
      <c r="F46" s="44"/>
      <c r="G46" s="44"/>
      <c r="H46" s="44"/>
      <c r="I46" s="97"/>
      <c r="J46" s="97"/>
      <c r="K46" s="97"/>
      <c r="L46" s="97"/>
      <c r="M46" s="97"/>
      <c r="N46" s="97"/>
    </row>
    <row r="47" spans="1:14" ht="30" customHeight="1">
      <c r="A47" s="44"/>
      <c r="B47" s="44"/>
      <c r="C47" s="44"/>
      <c r="D47" s="44"/>
      <c r="E47" s="95"/>
      <c r="F47" s="44"/>
      <c r="G47" s="44"/>
      <c r="H47" s="44"/>
      <c r="I47" s="97"/>
      <c r="J47" s="97"/>
      <c r="K47" s="97"/>
      <c r="L47" s="97"/>
      <c r="M47" s="97"/>
      <c r="N47" s="97"/>
    </row>
    <row r="48" spans="1:14">
      <c r="A48" s="48"/>
      <c r="B48" s="48"/>
      <c r="C48" s="48"/>
      <c r="D48" s="48"/>
      <c r="E48" s="44"/>
      <c r="F48" s="48"/>
      <c r="G48" s="48"/>
      <c r="H48" s="48"/>
      <c r="I48" s="48"/>
      <c r="J48" s="48"/>
      <c r="K48" s="48"/>
      <c r="L48" s="48"/>
      <c r="M48" s="48"/>
      <c r="N48" s="48"/>
    </row>
    <row r="49" spans="1:14">
      <c r="A49" s="126"/>
      <c r="B49" s="44"/>
      <c r="C49" s="48"/>
      <c r="D49" s="48"/>
      <c r="E49" s="44"/>
      <c r="F49" s="48"/>
      <c r="G49" s="48"/>
      <c r="H49" s="48"/>
      <c r="I49" s="48"/>
      <c r="J49" s="48"/>
      <c r="K49" s="48"/>
      <c r="L49" s="48"/>
      <c r="M49" s="48"/>
      <c r="N49" s="48"/>
    </row>
  </sheetData>
  <mergeCells count="17">
    <mergeCell ref="P5:R5"/>
    <mergeCell ref="G6:I6"/>
    <mergeCell ref="A1:S1"/>
    <mergeCell ref="A2:S2"/>
    <mergeCell ref="A3:S3"/>
    <mergeCell ref="A4:S4"/>
    <mergeCell ref="J6:L6"/>
    <mergeCell ref="M5:O6"/>
    <mergeCell ref="E5:F6"/>
    <mergeCell ref="G5:I5"/>
    <mergeCell ref="J5:L5"/>
    <mergeCell ref="A25:N25"/>
    <mergeCell ref="A31:N31"/>
    <mergeCell ref="A27:N27"/>
    <mergeCell ref="A28:N28"/>
    <mergeCell ref="A29:N29"/>
    <mergeCell ref="A30:N30"/>
  </mergeCells>
  <phoneticPr fontId="0" type="noConversion"/>
  <pageMargins left="0.28999999999999998" right="0.17" top="0.59055118110236227" bottom="0.59055118110236227" header="0.31496062992125984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49"/>
  <sheetViews>
    <sheetView workbookViewId="0">
      <selection activeCell="A27" sqref="A27:N27"/>
    </sheetView>
  </sheetViews>
  <sheetFormatPr defaultRowHeight="21.75"/>
  <cols>
    <col min="1" max="1" width="4.7109375" style="49" customWidth="1"/>
    <col min="2" max="2" width="23.140625" style="49" customWidth="1"/>
    <col min="3" max="3" width="6.42578125" style="49" customWidth="1"/>
    <col min="4" max="4" width="7.42578125" style="49" customWidth="1"/>
    <col min="5" max="5" width="8.85546875" style="129" customWidth="1"/>
    <col min="6" max="6" width="7.42578125" style="49" customWidth="1"/>
    <col min="7" max="9" width="5.7109375" style="49" customWidth="1"/>
    <col min="10" max="12" width="5.85546875" style="49" customWidth="1"/>
    <col min="13" max="15" width="8.140625" style="49" customWidth="1"/>
    <col min="16" max="18" width="9" style="49" customWidth="1"/>
    <col min="19" max="19" width="8.140625" style="49" customWidth="1"/>
    <col min="20" max="20" width="3.5703125" style="49" customWidth="1"/>
    <col min="21" max="16384" width="9.140625" style="49"/>
  </cols>
  <sheetData>
    <row r="1" spans="1:20" s="104" customFormat="1" ht="27.75">
      <c r="A1" s="284" t="s">
        <v>21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</row>
    <row r="2" spans="1:20" s="104" customFormat="1" ht="24">
      <c r="A2" s="289" t="s">
        <v>10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</row>
    <row r="3" spans="1:20" s="104" customFormat="1" ht="24">
      <c r="A3" s="289" t="s">
        <v>22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</row>
    <row r="4" spans="1:20" s="104" customFormat="1" ht="24">
      <c r="A4" s="290" t="s">
        <v>19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</row>
    <row r="5" spans="1:20" ht="21.75" customHeight="1">
      <c r="A5" s="39" t="s">
        <v>0</v>
      </c>
      <c r="B5" s="39" t="s">
        <v>1</v>
      </c>
      <c r="C5" s="105" t="s">
        <v>2</v>
      </c>
      <c r="D5" s="106" t="s">
        <v>4</v>
      </c>
      <c r="E5" s="291" t="s">
        <v>38</v>
      </c>
      <c r="F5" s="293"/>
      <c r="G5" s="286" t="s">
        <v>39</v>
      </c>
      <c r="H5" s="287"/>
      <c r="I5" s="288"/>
      <c r="J5" s="286" t="s">
        <v>44</v>
      </c>
      <c r="K5" s="287"/>
      <c r="L5" s="288"/>
      <c r="M5" s="291" t="s">
        <v>7</v>
      </c>
      <c r="N5" s="292"/>
      <c r="O5" s="293"/>
      <c r="P5" s="286" t="s">
        <v>6</v>
      </c>
      <c r="Q5" s="287"/>
      <c r="R5" s="288"/>
      <c r="S5" s="39" t="s">
        <v>42</v>
      </c>
    </row>
    <row r="6" spans="1:20" ht="21.75" customHeight="1">
      <c r="A6" s="46"/>
      <c r="B6" s="46"/>
      <c r="C6" s="109" t="s">
        <v>3</v>
      </c>
      <c r="D6" s="110" t="s">
        <v>5</v>
      </c>
      <c r="E6" s="294"/>
      <c r="F6" s="296"/>
      <c r="G6" s="276" t="s">
        <v>40</v>
      </c>
      <c r="H6" s="277"/>
      <c r="I6" s="278"/>
      <c r="J6" s="276" t="s">
        <v>45</v>
      </c>
      <c r="K6" s="277"/>
      <c r="L6" s="278"/>
      <c r="M6" s="294"/>
      <c r="N6" s="295"/>
      <c r="O6" s="296"/>
      <c r="P6" s="111"/>
      <c r="Q6" s="84"/>
      <c r="R6" s="112"/>
      <c r="S6" s="41"/>
    </row>
    <row r="7" spans="1:20" ht="21.75" customHeight="1">
      <c r="A7" s="40"/>
      <c r="B7" s="40"/>
      <c r="C7" s="113"/>
      <c r="D7" s="40"/>
      <c r="E7" s="114" t="s">
        <v>43</v>
      </c>
      <c r="F7" s="114" t="s">
        <v>41</v>
      </c>
      <c r="G7" s="74">
        <v>2555</v>
      </c>
      <c r="H7" s="74">
        <v>2556</v>
      </c>
      <c r="I7" s="74">
        <v>2557</v>
      </c>
      <c r="J7" s="74">
        <v>2555</v>
      </c>
      <c r="K7" s="74">
        <v>2556</v>
      </c>
      <c r="L7" s="74">
        <v>2557</v>
      </c>
      <c r="M7" s="74">
        <v>2555</v>
      </c>
      <c r="N7" s="74">
        <v>2556</v>
      </c>
      <c r="O7" s="74">
        <v>2557</v>
      </c>
      <c r="P7" s="74">
        <v>2555</v>
      </c>
      <c r="Q7" s="74">
        <v>2556</v>
      </c>
      <c r="R7" s="74">
        <v>2557</v>
      </c>
      <c r="S7" s="45"/>
    </row>
    <row r="8" spans="1:20">
      <c r="A8" s="107">
        <v>1</v>
      </c>
      <c r="B8" s="108" t="s">
        <v>11</v>
      </c>
      <c r="C8" s="86"/>
      <c r="D8" s="87">
        <f>สำนักปลัด!D35</f>
        <v>46</v>
      </c>
      <c r="E8" s="130">
        <v>19</v>
      </c>
      <c r="F8" s="89">
        <f>สำนักปลัด!F35</f>
        <v>8008680</v>
      </c>
      <c r="G8" s="87">
        <f>สำนักปลัด!G35</f>
        <v>45</v>
      </c>
      <c r="H8" s="89">
        <f>สำนักปลัด!H35</f>
        <v>46</v>
      </c>
      <c r="I8" s="90">
        <f>สำนักปลัด!I35</f>
        <v>46</v>
      </c>
      <c r="J8" s="91">
        <f>สำนักปลัด!J35</f>
        <v>5</v>
      </c>
      <c r="K8" s="92">
        <f>สำนักปลัด!K35</f>
        <v>1</v>
      </c>
      <c r="L8" s="93" t="str">
        <f>สำนักปลัด!L35</f>
        <v xml:space="preserve"> -</v>
      </c>
      <c r="M8" s="93">
        <f>สำนักปลัด!M35</f>
        <v>1063620</v>
      </c>
      <c r="N8" s="88">
        <f>สำนักปลัด!N35</f>
        <v>380340</v>
      </c>
      <c r="O8" s="87">
        <f>สำนักปลัด!O35</f>
        <v>282096</v>
      </c>
      <c r="P8" s="87">
        <f>สำนักปลัด!P35</f>
        <v>9072300</v>
      </c>
      <c r="Q8" s="87">
        <f>สำนักปลัด!Q35</f>
        <v>9452640</v>
      </c>
      <c r="R8" s="87">
        <f>สำนักปลัด!R35</f>
        <v>9734736</v>
      </c>
      <c r="S8" s="39"/>
    </row>
    <row r="9" spans="1:20">
      <c r="A9" s="115">
        <v>2</v>
      </c>
      <c r="B9" s="116" t="s">
        <v>12</v>
      </c>
      <c r="C9" s="86"/>
      <c r="D9" s="94" t="e">
        <f>สำนักปลัด!#REF!</f>
        <v>#REF!</v>
      </c>
      <c r="E9" s="131" t="e">
        <f>สำนักปลัด!#REF!</f>
        <v>#REF!</v>
      </c>
      <c r="F9" s="71" t="e">
        <f>สำนักปลัด!#REF!</f>
        <v>#REF!</v>
      </c>
      <c r="G9" s="94" t="e">
        <f>สำนักปลัด!#REF!</f>
        <v>#REF!</v>
      </c>
      <c r="H9" s="71" t="e">
        <f>สำนักปลัด!#REF!</f>
        <v>#REF!</v>
      </c>
      <c r="I9" s="93" t="e">
        <f>สำนักปลัด!#REF!</f>
        <v>#REF!</v>
      </c>
      <c r="J9" s="95" t="e">
        <f>สำนักปลัด!#REF!</f>
        <v>#REF!</v>
      </c>
      <c r="K9" s="96" t="e">
        <f>สำนักปลัด!#REF!</f>
        <v>#REF!</v>
      </c>
      <c r="L9" s="93" t="e">
        <f>สำนักปลัด!#REF!</f>
        <v>#REF!</v>
      </c>
      <c r="M9" s="93" t="e">
        <f>สำนักปลัด!#REF!</f>
        <v>#REF!</v>
      </c>
      <c r="N9" s="88" t="e">
        <f>สำนักปลัด!#REF!</f>
        <v>#REF!</v>
      </c>
      <c r="O9" s="94" t="e">
        <f>สำนักปลัด!#REF!</f>
        <v>#REF!</v>
      </c>
      <c r="P9" s="94" t="e">
        <f>สำนักปลัด!#REF!</f>
        <v>#REF!</v>
      </c>
      <c r="Q9" s="94" t="e">
        <f>สำนักปลัด!#REF!</f>
        <v>#REF!</v>
      </c>
      <c r="R9" s="94" t="e">
        <f>สำนักปลัด!#REF!</f>
        <v>#REF!</v>
      </c>
      <c r="S9" s="46"/>
    </row>
    <row r="10" spans="1:20">
      <c r="A10" s="115">
        <v>3</v>
      </c>
      <c r="B10" s="116" t="s">
        <v>13</v>
      </c>
      <c r="C10" s="86"/>
      <c r="D10" s="94" t="e">
        <f>สำนักปลัด!#REF!</f>
        <v>#REF!</v>
      </c>
      <c r="E10" s="133" t="e">
        <f>สำนักปลัด!#REF!</f>
        <v>#REF!</v>
      </c>
      <c r="F10" s="71" t="e">
        <f>สำนักปลัด!#REF!</f>
        <v>#REF!</v>
      </c>
      <c r="G10" s="94" t="e">
        <f>สำนักปลัด!#REF!</f>
        <v>#REF!</v>
      </c>
      <c r="H10" s="71" t="e">
        <f>สำนักปลัด!#REF!</f>
        <v>#REF!</v>
      </c>
      <c r="I10" s="93" t="e">
        <f>สำนักปลัด!#REF!</f>
        <v>#REF!</v>
      </c>
      <c r="J10" s="95" t="e">
        <f>สำนักปลัด!#REF!</f>
        <v>#REF!</v>
      </c>
      <c r="K10" s="96" t="e">
        <f>สำนักปลัด!#REF!</f>
        <v>#REF!</v>
      </c>
      <c r="L10" s="93" t="e">
        <f>สำนักปลัด!#REF!</f>
        <v>#REF!</v>
      </c>
      <c r="M10" s="93" t="e">
        <f>สำนักปลัด!#REF!</f>
        <v>#REF!</v>
      </c>
      <c r="N10" s="88" t="e">
        <f>สำนักปลัด!#REF!</f>
        <v>#REF!</v>
      </c>
      <c r="O10" s="94" t="e">
        <f>สำนักปลัด!#REF!</f>
        <v>#REF!</v>
      </c>
      <c r="P10" s="94" t="e">
        <f>สำนักปลัด!#REF!</f>
        <v>#REF!</v>
      </c>
      <c r="Q10" s="94" t="e">
        <f>สำนักปลัด!#REF!</f>
        <v>#REF!</v>
      </c>
      <c r="R10" s="94" t="e">
        <f>สำนักปลัด!#REF!</f>
        <v>#REF!</v>
      </c>
      <c r="S10" s="46"/>
    </row>
    <row r="11" spans="1:20">
      <c r="A11" s="115">
        <v>4</v>
      </c>
      <c r="B11" s="116" t="s">
        <v>14</v>
      </c>
      <c r="C11" s="86"/>
      <c r="D11" s="94" t="e">
        <f>สำนักปลัด!#REF!</f>
        <v>#REF!</v>
      </c>
      <c r="E11" s="133" t="e">
        <f>สำนักปลัด!#REF!</f>
        <v>#REF!</v>
      </c>
      <c r="F11" s="71" t="e">
        <f>สำนักปลัด!#REF!</f>
        <v>#REF!</v>
      </c>
      <c r="G11" s="94" t="e">
        <f>สำนักปลัด!#REF!</f>
        <v>#REF!</v>
      </c>
      <c r="H11" s="71" t="e">
        <f>สำนักปลัด!#REF!</f>
        <v>#REF!</v>
      </c>
      <c r="I11" s="93" t="e">
        <f>สำนักปลัด!#REF!</f>
        <v>#REF!</v>
      </c>
      <c r="J11" s="95" t="e">
        <f>สำนักปลัด!#REF!</f>
        <v>#REF!</v>
      </c>
      <c r="K11" s="96" t="e">
        <f>สำนักปลัด!#REF!</f>
        <v>#REF!</v>
      </c>
      <c r="L11" s="93" t="e">
        <f>สำนักปลัด!#REF!</f>
        <v>#REF!</v>
      </c>
      <c r="M11" s="93" t="e">
        <f>สำนักปลัด!#REF!</f>
        <v>#REF!</v>
      </c>
      <c r="N11" s="88" t="e">
        <f>สำนักปลัด!#REF!</f>
        <v>#REF!</v>
      </c>
      <c r="O11" s="94" t="e">
        <f>สำนักปลัด!#REF!</f>
        <v>#REF!</v>
      </c>
      <c r="P11" s="94" t="e">
        <f>สำนักปลัด!#REF!</f>
        <v>#REF!</v>
      </c>
      <c r="Q11" s="94" t="e">
        <f>สำนักปลัด!#REF!</f>
        <v>#REF!</v>
      </c>
      <c r="R11" s="94" t="e">
        <f>สำนักปลัด!#REF!</f>
        <v>#REF!</v>
      </c>
      <c r="S11" s="46"/>
    </row>
    <row r="12" spans="1:20">
      <c r="A12" s="115">
        <v>5</v>
      </c>
      <c r="B12" s="116" t="s">
        <v>23</v>
      </c>
      <c r="C12" s="86"/>
      <c r="D12" s="94" t="e">
        <f>สำนักปลัด!#REF!</f>
        <v>#REF!</v>
      </c>
      <c r="E12" s="133" t="e">
        <f>สำนักปลัด!#REF!</f>
        <v>#REF!</v>
      </c>
      <c r="F12" s="71" t="e">
        <f>สำนักปลัด!#REF!</f>
        <v>#REF!</v>
      </c>
      <c r="G12" s="94" t="e">
        <f>สำนักปลัด!#REF!</f>
        <v>#REF!</v>
      </c>
      <c r="H12" s="71" t="e">
        <f>สำนักปลัด!#REF!</f>
        <v>#REF!</v>
      </c>
      <c r="I12" s="93" t="e">
        <f>สำนักปลัด!#REF!</f>
        <v>#REF!</v>
      </c>
      <c r="J12" s="95" t="e">
        <f>สำนักปลัด!#REF!</f>
        <v>#REF!</v>
      </c>
      <c r="K12" s="96" t="e">
        <f>สำนักปลัด!#REF!</f>
        <v>#REF!</v>
      </c>
      <c r="L12" s="93" t="e">
        <f>สำนักปลัด!#REF!</f>
        <v>#REF!</v>
      </c>
      <c r="M12" s="93" t="e">
        <f>สำนักปลัด!#REF!</f>
        <v>#REF!</v>
      </c>
      <c r="N12" s="88" t="e">
        <f>สำนักปลัด!#REF!</f>
        <v>#REF!</v>
      </c>
      <c r="O12" s="94" t="e">
        <f>สำนักปลัด!#REF!</f>
        <v>#REF!</v>
      </c>
      <c r="P12" s="94" t="e">
        <f>สำนักปลัด!#REF!</f>
        <v>#REF!</v>
      </c>
      <c r="Q12" s="94" t="e">
        <f>สำนักปลัด!#REF!</f>
        <v>#REF!</v>
      </c>
      <c r="R12" s="94" t="e">
        <f>สำนักปลัด!#REF!</f>
        <v>#REF!</v>
      </c>
      <c r="S12" s="46"/>
    </row>
    <row r="13" spans="1:20" ht="21" customHeight="1">
      <c r="A13" s="115">
        <v>6</v>
      </c>
      <c r="B13" s="116" t="s">
        <v>15</v>
      </c>
      <c r="C13" s="86"/>
      <c r="D13" s="94" t="e">
        <f>สำนักปลัด!#REF!</f>
        <v>#REF!</v>
      </c>
      <c r="E13" s="134" t="e">
        <f>สำนักปลัด!#REF!</f>
        <v>#REF!</v>
      </c>
      <c r="F13" s="71" t="e">
        <f>สำนักปลัด!#REF!</f>
        <v>#REF!</v>
      </c>
      <c r="G13" s="94" t="e">
        <f>สำนักปลัด!#REF!</f>
        <v>#REF!</v>
      </c>
      <c r="H13" s="71" t="e">
        <f>สำนักปลัด!#REF!</f>
        <v>#REF!</v>
      </c>
      <c r="I13" s="93" t="e">
        <f>สำนักปลัด!#REF!</f>
        <v>#REF!</v>
      </c>
      <c r="J13" s="95" t="e">
        <f>สำนักปลัด!#REF!</f>
        <v>#REF!</v>
      </c>
      <c r="K13" s="96" t="e">
        <f>สำนักปลัด!#REF!</f>
        <v>#REF!</v>
      </c>
      <c r="L13" s="93" t="e">
        <f>สำนักปลัด!#REF!</f>
        <v>#REF!</v>
      </c>
      <c r="M13" s="93" t="e">
        <f>สำนักปลัด!#REF!</f>
        <v>#REF!</v>
      </c>
      <c r="N13" s="88" t="e">
        <f>สำนักปลัด!#REF!</f>
        <v>#REF!</v>
      </c>
      <c r="O13" s="94" t="e">
        <f>สำนักปลัด!#REF!</f>
        <v>#REF!</v>
      </c>
      <c r="P13" s="94" t="e">
        <f>สำนักปลัด!#REF!</f>
        <v>#REF!</v>
      </c>
      <c r="Q13" s="94" t="e">
        <f>สำนักปลัด!#REF!</f>
        <v>#REF!</v>
      </c>
      <c r="R13" s="94" t="e">
        <f>สำนักปลัด!#REF!</f>
        <v>#REF!</v>
      </c>
      <c r="S13" s="46"/>
      <c r="T13" s="85" t="s">
        <v>53</v>
      </c>
    </row>
    <row r="14" spans="1:20">
      <c r="A14" s="115">
        <v>7</v>
      </c>
      <c r="B14" s="116" t="s">
        <v>16</v>
      </c>
      <c r="C14" s="86"/>
      <c r="D14" s="94" t="e">
        <f>สำนักปลัด!#REF!</f>
        <v>#REF!</v>
      </c>
      <c r="E14" s="134" t="e">
        <f>สำนักปลัด!#REF!</f>
        <v>#REF!</v>
      </c>
      <c r="F14" s="71" t="e">
        <f>สำนักปลัด!#REF!</f>
        <v>#REF!</v>
      </c>
      <c r="G14" s="94" t="e">
        <f>สำนักปลัด!#REF!</f>
        <v>#REF!</v>
      </c>
      <c r="H14" s="71" t="e">
        <f>สำนักปลัด!#REF!</f>
        <v>#REF!</v>
      </c>
      <c r="I14" s="93" t="e">
        <f>สำนักปลัด!#REF!</f>
        <v>#REF!</v>
      </c>
      <c r="J14" s="95" t="e">
        <f>สำนักปลัด!#REF!</f>
        <v>#REF!</v>
      </c>
      <c r="K14" s="96" t="e">
        <f>สำนักปลัด!#REF!</f>
        <v>#REF!</v>
      </c>
      <c r="L14" s="93" t="e">
        <f>สำนักปลัด!#REF!</f>
        <v>#REF!</v>
      </c>
      <c r="M14" s="93" t="e">
        <f>สำนักปลัด!#REF!</f>
        <v>#REF!</v>
      </c>
      <c r="N14" s="88" t="e">
        <f>สำนักปลัด!#REF!</f>
        <v>#REF!</v>
      </c>
      <c r="O14" s="94" t="e">
        <f>สำนักปลัด!#REF!</f>
        <v>#REF!</v>
      </c>
      <c r="P14" s="94" t="e">
        <f>สำนักปลัด!#REF!</f>
        <v>#REF!</v>
      </c>
      <c r="Q14" s="94" t="e">
        <f>สำนักปลัด!#REF!</f>
        <v>#REF!</v>
      </c>
      <c r="R14" s="94" t="e">
        <f>สำนักปลัด!#REF!</f>
        <v>#REF!</v>
      </c>
      <c r="S14" s="46"/>
    </row>
    <row r="15" spans="1:20">
      <c r="A15" s="83">
        <v>8</v>
      </c>
      <c r="B15" s="111" t="s">
        <v>17</v>
      </c>
      <c r="C15" s="98"/>
      <c r="D15" s="43" t="e">
        <f>สำนักปลัด!#REF!</f>
        <v>#REF!</v>
      </c>
      <c r="E15" s="135" t="e">
        <f>สำนักปลัด!#REF!</f>
        <v>#REF!</v>
      </c>
      <c r="F15" s="100" t="e">
        <f>สำนักปลัด!#REF!</f>
        <v>#REF!</v>
      </c>
      <c r="G15" s="43" t="e">
        <f>สำนักปลัด!#REF!</f>
        <v>#REF!</v>
      </c>
      <c r="H15" s="100" t="e">
        <f>สำนักปลัด!#REF!</f>
        <v>#REF!</v>
      </c>
      <c r="I15" s="99" t="e">
        <f>สำนักปลัด!#REF!</f>
        <v>#REF!</v>
      </c>
      <c r="J15" s="127" t="e">
        <f>สำนักปลัด!#REF!</f>
        <v>#REF!</v>
      </c>
      <c r="K15" s="128" t="e">
        <f>สำนักปลัด!#REF!</f>
        <v>#REF!</v>
      </c>
      <c r="L15" s="93" t="e">
        <f>สำนักปลัด!#REF!</f>
        <v>#REF!</v>
      </c>
      <c r="M15" s="93" t="e">
        <f>สำนักปลัด!#REF!</f>
        <v>#REF!</v>
      </c>
      <c r="N15" s="88" t="e">
        <f>สำนักปลัด!#REF!</f>
        <v>#REF!</v>
      </c>
      <c r="O15" s="94" t="e">
        <f>สำนักปลัด!#REF!</f>
        <v>#REF!</v>
      </c>
      <c r="P15" s="94" t="e">
        <f>สำนักปลัด!#REF!</f>
        <v>#REF!</v>
      </c>
      <c r="Q15" s="94" t="e">
        <f>สำนักปลัด!#REF!</f>
        <v>#REF!</v>
      </c>
      <c r="R15" s="94" t="e">
        <f>สำนักปลัด!#REF!</f>
        <v>#REF!</v>
      </c>
      <c r="S15" s="46"/>
    </row>
    <row r="16" spans="1:20" s="119" customFormat="1">
      <c r="A16" s="117"/>
      <c r="B16" s="118" t="s">
        <v>9</v>
      </c>
      <c r="C16" s="47"/>
      <c r="D16" s="47" t="e">
        <f t="shared" ref="D16:I16" si="0">SUM(D8:D15)</f>
        <v>#REF!</v>
      </c>
      <c r="E16" s="47" t="e">
        <f t="shared" si="0"/>
        <v>#REF!</v>
      </c>
      <c r="F16" s="47" t="e">
        <f t="shared" si="0"/>
        <v>#REF!</v>
      </c>
      <c r="G16" s="47" t="e">
        <f t="shared" si="0"/>
        <v>#REF!</v>
      </c>
      <c r="H16" s="47" t="e">
        <f t="shared" si="0"/>
        <v>#REF!</v>
      </c>
      <c r="I16" s="47" t="e">
        <f t="shared" si="0"/>
        <v>#REF!</v>
      </c>
      <c r="J16" s="47" t="e">
        <f>สำนักปลัด!#REF!</f>
        <v>#REF!</v>
      </c>
      <c r="K16" s="47" t="e">
        <f>สำนักปลัด!#REF!</f>
        <v>#REF!</v>
      </c>
      <c r="L16" s="47" t="e">
        <f>สำนักปลัด!#REF!</f>
        <v>#REF!</v>
      </c>
      <c r="M16" s="47" t="e">
        <f t="shared" ref="M16:R16" si="1">SUM(M8:M15)</f>
        <v>#REF!</v>
      </c>
      <c r="N16" s="47" t="e">
        <f t="shared" si="1"/>
        <v>#REF!</v>
      </c>
      <c r="O16" s="47" t="e">
        <f t="shared" si="1"/>
        <v>#REF!</v>
      </c>
      <c r="P16" s="47" t="e">
        <f>SUM(P8:P15)</f>
        <v>#REF!</v>
      </c>
      <c r="Q16" s="47" t="e">
        <f t="shared" si="1"/>
        <v>#REF!</v>
      </c>
      <c r="R16" s="47" t="e">
        <f t="shared" si="1"/>
        <v>#REF!</v>
      </c>
      <c r="S16" s="47"/>
    </row>
    <row r="17" spans="1:19">
      <c r="A17" s="120"/>
      <c r="B17" s="49" t="s">
        <v>49</v>
      </c>
      <c r="C17" s="74"/>
      <c r="D17" s="74"/>
      <c r="E17" s="132"/>
      <c r="F17" s="74"/>
      <c r="G17" s="74"/>
      <c r="H17" s="74"/>
      <c r="I17" s="75"/>
      <c r="J17" s="101"/>
      <c r="K17" s="75"/>
      <c r="L17" s="75"/>
      <c r="M17" s="75"/>
      <c r="N17" s="75"/>
      <c r="O17" s="74"/>
      <c r="P17" s="47" t="e">
        <f>P16*20/100</f>
        <v>#REF!</v>
      </c>
      <c r="Q17" s="47" t="e">
        <f>Q16*20/100</f>
        <v>#REF!</v>
      </c>
      <c r="R17" s="47" t="e">
        <f>R16*20/100</f>
        <v>#REF!</v>
      </c>
      <c r="S17" s="74"/>
    </row>
    <row r="18" spans="1:19">
      <c r="A18" s="120"/>
      <c r="B18" s="121" t="s">
        <v>24</v>
      </c>
      <c r="C18" s="74"/>
      <c r="D18" s="74"/>
      <c r="E18" s="132"/>
      <c r="F18" s="74"/>
      <c r="G18" s="74"/>
      <c r="H18" s="74"/>
      <c r="I18" s="75"/>
      <c r="J18" s="101"/>
      <c r="K18" s="75"/>
      <c r="L18" s="75"/>
      <c r="M18" s="75"/>
      <c r="N18" s="75"/>
      <c r="O18" s="74"/>
      <c r="P18" s="47">
        <v>15153074</v>
      </c>
      <c r="Q18" s="47">
        <v>16992868</v>
      </c>
      <c r="R18" s="47">
        <v>20993313</v>
      </c>
      <c r="S18" s="74"/>
    </row>
    <row r="19" spans="1:19">
      <c r="A19" s="120"/>
      <c r="B19" s="121" t="s">
        <v>54</v>
      </c>
      <c r="C19" s="74"/>
      <c r="D19" s="74"/>
      <c r="E19" s="132"/>
      <c r="F19" s="74"/>
      <c r="G19" s="74"/>
      <c r="H19" s="74"/>
      <c r="I19" s="75"/>
      <c r="J19" s="101"/>
      <c r="K19" s="75"/>
      <c r="L19" s="75"/>
      <c r="M19" s="75"/>
      <c r="N19" s="75"/>
      <c r="O19" s="74"/>
      <c r="P19" s="47" t="e">
        <f>P16+P17+P18</f>
        <v>#REF!</v>
      </c>
      <c r="Q19" s="47" t="e">
        <f>Q16+Q17+Q18</f>
        <v>#REF!</v>
      </c>
      <c r="R19" s="47" t="e">
        <f>R16+R17+R18</f>
        <v>#REF!</v>
      </c>
      <c r="S19" s="74"/>
    </row>
    <row r="20" spans="1:19">
      <c r="A20" s="120"/>
      <c r="B20" s="121" t="s">
        <v>36</v>
      </c>
      <c r="C20" s="74"/>
      <c r="D20" s="74"/>
      <c r="E20" s="132"/>
      <c r="F20" s="74"/>
      <c r="G20" s="74"/>
      <c r="H20" s="74"/>
      <c r="I20" s="75"/>
      <c r="J20" s="101"/>
      <c r="K20" s="75"/>
      <c r="L20" s="75"/>
      <c r="M20" s="75"/>
      <c r="N20" s="75"/>
      <c r="O20" s="74"/>
      <c r="P20" s="47">
        <v>117882050</v>
      </c>
      <c r="Q20" s="47">
        <f>P20*10/100+P20</f>
        <v>129670255</v>
      </c>
      <c r="R20" s="47">
        <f>Q20*10/100+Q20</f>
        <v>142637280.5</v>
      </c>
      <c r="S20" s="74"/>
    </row>
    <row r="21" spans="1:19">
      <c r="A21" s="120"/>
      <c r="B21" s="121" t="s">
        <v>55</v>
      </c>
      <c r="C21" s="103"/>
      <c r="D21" s="74"/>
      <c r="E21" s="132"/>
      <c r="F21" s="74"/>
      <c r="G21" s="74"/>
      <c r="H21" s="74"/>
      <c r="I21" s="75"/>
      <c r="J21" s="101"/>
      <c r="K21" s="75"/>
      <c r="L21" s="102"/>
      <c r="M21" s="102"/>
      <c r="N21" s="102"/>
      <c r="O21" s="74"/>
      <c r="P21" s="136" t="e">
        <f>P19*100/P20</f>
        <v>#REF!</v>
      </c>
      <c r="Q21" s="136" t="e">
        <f>Q19*100/Q20</f>
        <v>#REF!</v>
      </c>
      <c r="R21" s="136" t="e">
        <f>R19*100/R20</f>
        <v>#REF!</v>
      </c>
      <c r="S21" s="74"/>
    </row>
    <row r="22" spans="1:19" ht="27.75">
      <c r="A22" s="44"/>
      <c r="B22" s="138" t="s">
        <v>58</v>
      </c>
      <c r="C22" s="122"/>
      <c r="D22" s="44"/>
      <c r="E22" s="297">
        <v>117882050</v>
      </c>
      <c r="F22" s="297"/>
      <c r="G22" s="137" t="s">
        <v>59</v>
      </c>
      <c r="H22" s="44"/>
      <c r="I22" s="97"/>
      <c r="J22" s="97"/>
      <c r="K22" s="123"/>
      <c r="L22" s="123" t="e">
        <f>SUM(L16:L18)</f>
        <v>#REF!</v>
      </c>
      <c r="M22" s="123" t="e">
        <f>SUM(M16:M18)</f>
        <v>#REF!</v>
      </c>
      <c r="N22" s="123" t="e">
        <f>SUM(N16:N18)</f>
        <v>#REF!</v>
      </c>
    </row>
    <row r="23" spans="1:19" ht="27.75">
      <c r="A23" s="44"/>
      <c r="B23" s="139" t="s">
        <v>56</v>
      </c>
      <c r="C23" s="44"/>
      <c r="D23" s="44"/>
      <c r="E23" s="298">
        <v>129670255</v>
      </c>
      <c r="F23" s="298"/>
      <c r="G23" s="137" t="s">
        <v>59</v>
      </c>
      <c r="H23" s="44"/>
      <c r="I23" s="97"/>
      <c r="J23" s="124"/>
      <c r="K23" s="125"/>
      <c r="L23" s="123">
        <v>102274700</v>
      </c>
      <c r="M23" s="123">
        <f>(L23*10/100)+L23</f>
        <v>112502170</v>
      </c>
      <c r="N23" s="123">
        <f>(M23*10/100)+M23</f>
        <v>123752387</v>
      </c>
    </row>
    <row r="24" spans="1:19" ht="27.75">
      <c r="A24" s="44"/>
      <c r="B24" s="139" t="s">
        <v>57</v>
      </c>
      <c r="C24" s="44"/>
      <c r="D24" s="44"/>
      <c r="E24" s="298">
        <v>142637281</v>
      </c>
      <c r="F24" s="298"/>
      <c r="G24" s="137" t="s">
        <v>59</v>
      </c>
      <c r="H24" s="44"/>
      <c r="I24" s="97"/>
      <c r="J24" s="124"/>
      <c r="K24" s="125"/>
      <c r="L24" s="123"/>
      <c r="M24" s="123"/>
      <c r="N24" s="123"/>
    </row>
    <row r="25" spans="1:19">
      <c r="A25" s="281" t="s">
        <v>52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</row>
    <row r="27" spans="1:19" s="104" customFormat="1" ht="27.75">
      <c r="A27" s="283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</row>
    <row r="28" spans="1:19" s="104" customFormat="1" ht="27.75">
      <c r="A28" s="284"/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</row>
    <row r="29" spans="1:19" s="104" customFormat="1" ht="27.75">
      <c r="A29" s="285"/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</row>
    <row r="30" spans="1:19" s="104" customFormat="1" ht="24">
      <c r="A30" s="282"/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</row>
    <row r="31" spans="1:19" ht="24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</row>
    <row r="32" spans="1:19">
      <c r="A32" s="44"/>
      <c r="B32" s="44"/>
      <c r="C32" s="44"/>
      <c r="D32" s="48"/>
      <c r="E32" s="44"/>
      <c r="F32" s="48"/>
      <c r="G32" s="44"/>
      <c r="H32" s="48"/>
      <c r="I32" s="48"/>
      <c r="J32" s="44"/>
      <c r="K32" s="48"/>
      <c r="L32" s="48"/>
      <c r="M32" s="44"/>
      <c r="N32" s="48"/>
    </row>
    <row r="33" spans="1:14">
      <c r="A33" s="44"/>
      <c r="B33" s="44"/>
      <c r="C33" s="44">
        <v>33540</v>
      </c>
      <c r="D33" s="44">
        <f>33540*4/100</f>
        <v>1341.6</v>
      </c>
      <c r="E33" s="44">
        <v>1341</v>
      </c>
      <c r="F33" s="44">
        <f>1341*12</f>
        <v>16092</v>
      </c>
      <c r="G33" s="44"/>
      <c r="H33" s="44"/>
      <c r="I33" s="44"/>
      <c r="J33" s="44"/>
      <c r="K33" s="44"/>
      <c r="L33" s="44"/>
      <c r="M33" s="44"/>
      <c r="N33" s="44"/>
    </row>
    <row r="34" spans="1:14">
      <c r="A34" s="44"/>
      <c r="B34" s="48"/>
      <c r="C34" s="44"/>
      <c r="D34" s="44">
        <f>SUM(C33:D33)</f>
        <v>34881.599999999999</v>
      </c>
      <c r="E34" s="95"/>
      <c r="F34" s="71"/>
      <c r="G34" s="44"/>
      <c r="H34" s="44"/>
      <c r="I34" s="95"/>
      <c r="J34" s="95"/>
      <c r="K34" s="95"/>
      <c r="L34" s="97"/>
      <c r="M34" s="95"/>
      <c r="N34" s="95"/>
    </row>
    <row r="35" spans="1:14">
      <c r="A35" s="44"/>
      <c r="B35" s="48"/>
      <c r="C35" s="44"/>
      <c r="D35" s="44"/>
      <c r="E35" s="95"/>
      <c r="F35" s="44"/>
      <c r="G35" s="44"/>
      <c r="H35" s="44"/>
      <c r="I35" s="97"/>
      <c r="J35" s="95"/>
      <c r="K35" s="95"/>
      <c r="L35" s="95"/>
      <c r="M35" s="95"/>
      <c r="N35" s="95"/>
    </row>
    <row r="36" spans="1:14">
      <c r="A36" s="44"/>
      <c r="B36" s="48"/>
      <c r="C36" s="44"/>
      <c r="D36" s="44"/>
      <c r="E36" s="95"/>
      <c r="F36" s="44"/>
      <c r="G36" s="44"/>
      <c r="H36" s="44"/>
      <c r="I36" s="97"/>
      <c r="J36" s="95"/>
      <c r="K36" s="95"/>
      <c r="L36" s="97"/>
      <c r="M36" s="95"/>
      <c r="N36" s="95"/>
    </row>
    <row r="37" spans="1:14">
      <c r="A37" s="44"/>
      <c r="B37" s="48"/>
      <c r="C37" s="44"/>
      <c r="D37" s="44"/>
      <c r="E37" s="95"/>
      <c r="F37" s="44"/>
      <c r="G37" s="44"/>
      <c r="H37" s="44"/>
      <c r="I37" s="95"/>
      <c r="J37" s="95"/>
      <c r="K37" s="95"/>
      <c r="L37" s="95"/>
      <c r="M37" s="95"/>
      <c r="N37" s="95"/>
    </row>
    <row r="38" spans="1:14">
      <c r="A38" s="44"/>
      <c r="B38" s="48"/>
      <c r="C38" s="44"/>
      <c r="D38" s="44"/>
      <c r="E38" s="95"/>
      <c r="F38" s="44"/>
      <c r="G38" s="44"/>
      <c r="H38" s="44"/>
      <c r="I38" s="97"/>
      <c r="J38" s="95"/>
      <c r="K38" s="95"/>
      <c r="L38" s="97"/>
      <c r="M38" s="95"/>
      <c r="N38" s="95"/>
    </row>
    <row r="39" spans="1:14">
      <c r="A39" s="44"/>
      <c r="B39" s="48"/>
      <c r="C39" s="44"/>
      <c r="D39" s="44"/>
      <c r="E39" s="95"/>
      <c r="F39" s="44"/>
      <c r="G39" s="44"/>
      <c r="H39" s="44"/>
      <c r="I39" s="97"/>
      <c r="J39" s="97"/>
      <c r="K39" s="95"/>
      <c r="L39" s="97"/>
      <c r="M39" s="97"/>
      <c r="N39" s="95"/>
    </row>
    <row r="40" spans="1:14">
      <c r="A40" s="44"/>
      <c r="B40" s="48"/>
      <c r="C40" s="44"/>
      <c r="D40" s="44"/>
      <c r="E40" s="95"/>
      <c r="F40" s="44"/>
      <c r="G40" s="44"/>
      <c r="H40" s="44"/>
      <c r="I40" s="97"/>
      <c r="J40" s="97"/>
      <c r="K40" s="97"/>
      <c r="L40" s="97"/>
      <c r="M40" s="97"/>
      <c r="N40" s="97"/>
    </row>
    <row r="41" spans="1:14">
      <c r="A41" s="44"/>
      <c r="B41" s="48"/>
      <c r="C41" s="44"/>
      <c r="D41" s="44"/>
      <c r="E41" s="95"/>
      <c r="F41" s="44"/>
      <c r="G41" s="44"/>
      <c r="H41" s="44"/>
      <c r="I41" s="97"/>
      <c r="J41" s="97"/>
      <c r="K41" s="97"/>
      <c r="L41" s="97"/>
      <c r="M41" s="97"/>
      <c r="N41" s="97"/>
    </row>
    <row r="42" spans="1:14">
      <c r="A42" s="44"/>
      <c r="B42" s="48"/>
      <c r="C42" s="122"/>
      <c r="D42" s="44"/>
      <c r="E42" s="95"/>
      <c r="F42" s="44"/>
      <c r="G42" s="44"/>
      <c r="H42" s="44"/>
      <c r="I42" s="97"/>
      <c r="J42" s="97"/>
      <c r="K42" s="97"/>
      <c r="L42" s="97"/>
      <c r="M42" s="97"/>
      <c r="N42" s="97"/>
    </row>
    <row r="43" spans="1:14">
      <c r="A43" s="44"/>
      <c r="B43" s="48"/>
      <c r="C43" s="44"/>
      <c r="D43" s="44"/>
      <c r="E43" s="95"/>
      <c r="F43" s="44"/>
      <c r="G43" s="44"/>
      <c r="H43" s="44"/>
      <c r="I43" s="97"/>
      <c r="J43" s="97"/>
      <c r="K43" s="97"/>
      <c r="L43" s="97"/>
      <c r="M43" s="97"/>
      <c r="N43" s="97"/>
    </row>
    <row r="44" spans="1:14">
      <c r="A44" s="44"/>
      <c r="B44" s="48"/>
      <c r="C44" s="44"/>
      <c r="D44" s="44"/>
      <c r="E44" s="95"/>
      <c r="F44" s="44"/>
      <c r="G44" s="44"/>
      <c r="H44" s="44"/>
      <c r="I44" s="97"/>
      <c r="J44" s="97"/>
      <c r="K44" s="97"/>
      <c r="L44" s="97"/>
      <c r="M44" s="97"/>
      <c r="N44" s="97"/>
    </row>
    <row r="45" spans="1:14">
      <c r="A45" s="44"/>
      <c r="B45" s="48"/>
      <c r="C45" s="122"/>
      <c r="D45" s="44"/>
      <c r="E45" s="95"/>
      <c r="F45" s="44"/>
      <c r="G45" s="44"/>
      <c r="H45" s="44"/>
      <c r="I45" s="97"/>
      <c r="J45" s="97"/>
      <c r="K45" s="97"/>
      <c r="L45" s="97"/>
      <c r="M45" s="97"/>
      <c r="N45" s="97"/>
    </row>
    <row r="46" spans="1:14">
      <c r="A46" s="44"/>
      <c r="B46" s="48"/>
      <c r="C46" s="44"/>
      <c r="D46" s="44"/>
      <c r="E46" s="95"/>
      <c r="F46" s="44"/>
      <c r="G46" s="44"/>
      <c r="H46" s="44"/>
      <c r="I46" s="97"/>
      <c r="J46" s="97"/>
      <c r="K46" s="97"/>
      <c r="L46" s="97"/>
      <c r="M46" s="97"/>
      <c r="N46" s="97"/>
    </row>
    <row r="47" spans="1:14" ht="30" customHeight="1">
      <c r="A47" s="44"/>
      <c r="B47" s="44"/>
      <c r="C47" s="44"/>
      <c r="D47" s="44"/>
      <c r="E47" s="95"/>
      <c r="F47" s="44"/>
      <c r="G47" s="44"/>
      <c r="H47" s="44"/>
      <c r="I47" s="97"/>
      <c r="J47" s="97"/>
      <c r="K47" s="97"/>
      <c r="L47" s="97"/>
      <c r="M47" s="97"/>
      <c r="N47" s="97"/>
    </row>
    <row r="48" spans="1:14">
      <c r="A48" s="48"/>
      <c r="B48" s="48"/>
      <c r="C48" s="48"/>
      <c r="D48" s="48"/>
      <c r="E48" s="44"/>
      <c r="F48" s="48"/>
      <c r="G48" s="48"/>
      <c r="H48" s="48"/>
      <c r="I48" s="48"/>
      <c r="J48" s="48"/>
      <c r="K48" s="48"/>
      <c r="L48" s="48"/>
      <c r="M48" s="48"/>
      <c r="N48" s="48"/>
    </row>
    <row r="49" spans="1:14">
      <c r="A49" s="126"/>
      <c r="B49" s="44"/>
      <c r="C49" s="48"/>
      <c r="D49" s="48"/>
      <c r="E49" s="44"/>
      <c r="F49" s="48"/>
      <c r="G49" s="48"/>
      <c r="H49" s="48"/>
      <c r="I49" s="48"/>
      <c r="J49" s="48"/>
      <c r="K49" s="48"/>
      <c r="L49" s="48"/>
      <c r="M49" s="48"/>
      <c r="N49" s="48"/>
    </row>
  </sheetData>
  <mergeCells count="20">
    <mergeCell ref="E22:F22"/>
    <mergeCell ref="E23:F23"/>
    <mergeCell ref="E24:F24"/>
    <mergeCell ref="A25:N25"/>
    <mergeCell ref="A31:N31"/>
    <mergeCell ref="A27:N27"/>
    <mergeCell ref="A28:N28"/>
    <mergeCell ref="A29:N29"/>
    <mergeCell ref="A30:N30"/>
    <mergeCell ref="P5:R5"/>
    <mergeCell ref="G6:I6"/>
    <mergeCell ref="A1:S1"/>
    <mergeCell ref="A2:S2"/>
    <mergeCell ref="A3:S3"/>
    <mergeCell ref="A4:S4"/>
    <mergeCell ref="J6:L6"/>
    <mergeCell ref="M5:O6"/>
    <mergeCell ref="E5:F6"/>
    <mergeCell ref="G5:I5"/>
    <mergeCell ref="J5:L5"/>
  </mergeCells>
  <phoneticPr fontId="0" type="noConversion"/>
  <pageMargins left="0.28999999999999998" right="0.17" top="0.43" bottom="0.26" header="0.31496062992125984" footer="0.19"/>
  <pageSetup paperSize="9" orientation="landscape" horizontalDpi="4294967294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58"/>
  <sheetViews>
    <sheetView view="pageBreakPreview" topLeftCell="A50" workbookViewId="0">
      <selection activeCell="B39" sqref="B39"/>
    </sheetView>
  </sheetViews>
  <sheetFormatPr defaultRowHeight="21.75" customHeight="1"/>
  <cols>
    <col min="1" max="1" width="3.7109375" style="38" customWidth="1"/>
    <col min="2" max="2" width="21.7109375" style="49" customWidth="1"/>
    <col min="3" max="3" width="6" style="58" customWidth="1"/>
    <col min="4" max="4" width="5.7109375" style="49" customWidth="1"/>
    <col min="5" max="5" width="7.85546875" style="49" customWidth="1"/>
    <col min="6" max="6" width="8.85546875" style="5" customWidth="1"/>
    <col min="7" max="12" width="6.28515625" style="5" customWidth="1"/>
    <col min="13" max="15" width="8.28515625" style="5" customWidth="1"/>
    <col min="16" max="18" width="8.7109375" style="5" customWidth="1"/>
    <col min="19" max="19" width="8" style="5" customWidth="1"/>
    <col min="20" max="20" width="4" style="5" customWidth="1"/>
    <col min="21" max="16384" width="9.140625" style="5"/>
  </cols>
  <sheetData>
    <row r="1" spans="1:20" s="1" customFormat="1" ht="21.75" customHeight="1">
      <c r="A1" s="267" t="s">
        <v>47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20" s="1" customFormat="1" ht="21.75" customHeight="1">
      <c r="A2" s="267" t="s">
        <v>28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20" s="1" customFormat="1" ht="21.75" customHeight="1">
      <c r="A3" s="268" t="s">
        <v>19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ht="21.75" customHeight="1">
      <c r="A4" s="2" t="s">
        <v>0</v>
      </c>
      <c r="B4" s="39" t="s">
        <v>1</v>
      </c>
      <c r="C4" s="65" t="s">
        <v>2</v>
      </c>
      <c r="D4" s="106" t="s">
        <v>4</v>
      </c>
      <c r="E4" s="269" t="s">
        <v>38</v>
      </c>
      <c r="F4" s="270"/>
      <c r="G4" s="273" t="s">
        <v>39</v>
      </c>
      <c r="H4" s="274"/>
      <c r="I4" s="275"/>
      <c r="J4" s="273" t="s">
        <v>44</v>
      </c>
      <c r="K4" s="274"/>
      <c r="L4" s="275"/>
      <c r="M4" s="3"/>
      <c r="N4" s="191" t="s">
        <v>7</v>
      </c>
      <c r="O4" s="4"/>
      <c r="P4" s="273" t="s">
        <v>6</v>
      </c>
      <c r="Q4" s="274"/>
      <c r="R4" s="275"/>
      <c r="S4" s="2" t="s">
        <v>42</v>
      </c>
    </row>
    <row r="5" spans="1:20" ht="21.75" customHeight="1">
      <c r="A5" s="17"/>
      <c r="B5" s="46"/>
      <c r="C5" s="66" t="s">
        <v>3</v>
      </c>
      <c r="D5" s="110" t="s">
        <v>5</v>
      </c>
      <c r="E5" s="271"/>
      <c r="F5" s="272"/>
      <c r="G5" s="276" t="s">
        <v>40</v>
      </c>
      <c r="H5" s="277"/>
      <c r="I5" s="278"/>
      <c r="J5" s="276" t="s">
        <v>45</v>
      </c>
      <c r="K5" s="277"/>
      <c r="L5" s="278"/>
      <c r="M5" s="59"/>
      <c r="N5" s="19"/>
      <c r="O5" s="60"/>
      <c r="P5" s="59"/>
      <c r="Q5" s="19"/>
      <c r="R5" s="60"/>
      <c r="S5" s="61"/>
    </row>
    <row r="6" spans="1:20" ht="21.75" customHeight="1">
      <c r="A6" s="6"/>
      <c r="B6" s="40"/>
      <c r="C6" s="50"/>
      <c r="D6" s="40"/>
      <c r="E6" s="114" t="s">
        <v>43</v>
      </c>
      <c r="F6" s="67" t="s">
        <v>41</v>
      </c>
      <c r="G6" s="7">
        <v>2558</v>
      </c>
      <c r="H6" s="7">
        <v>2559</v>
      </c>
      <c r="I6" s="7">
        <v>2560</v>
      </c>
      <c r="J6" s="7">
        <v>2558</v>
      </c>
      <c r="K6" s="7">
        <v>2559</v>
      </c>
      <c r="L6" s="7">
        <v>2560</v>
      </c>
      <c r="M6" s="7">
        <v>2558</v>
      </c>
      <c r="N6" s="7">
        <v>2559</v>
      </c>
      <c r="O6" s="7">
        <v>2560</v>
      </c>
      <c r="P6" s="7">
        <v>2558</v>
      </c>
      <c r="Q6" s="7">
        <v>2559</v>
      </c>
      <c r="R6" s="7">
        <v>2560</v>
      </c>
      <c r="S6" s="62"/>
    </row>
    <row r="7" spans="1:20" ht="21.75" customHeight="1">
      <c r="A7" s="190"/>
      <c r="B7" s="143" t="s">
        <v>61</v>
      </c>
      <c r="C7" s="51"/>
      <c r="D7" s="39"/>
      <c r="E7" s="141"/>
      <c r="F7" s="142"/>
      <c r="G7" s="191"/>
      <c r="H7" s="2"/>
      <c r="I7" s="2"/>
      <c r="J7" s="2"/>
      <c r="K7" s="2"/>
      <c r="L7" s="2"/>
      <c r="M7" s="2"/>
      <c r="N7" s="191"/>
      <c r="O7" s="190"/>
      <c r="P7" s="190"/>
      <c r="Q7" s="2"/>
      <c r="R7" s="192"/>
      <c r="S7" s="61"/>
    </row>
    <row r="8" spans="1:20" ht="21.75" customHeight="1">
      <c r="A8" s="10">
        <v>1</v>
      </c>
      <c r="B8" s="41" t="s">
        <v>90</v>
      </c>
      <c r="C8" s="52">
        <v>8</v>
      </c>
      <c r="D8" s="46">
        <v>1</v>
      </c>
      <c r="E8" s="44">
        <v>1</v>
      </c>
      <c r="F8" s="31">
        <f>35760*12</f>
        <v>429120</v>
      </c>
      <c r="G8" s="11">
        <v>1</v>
      </c>
      <c r="H8" s="17">
        <v>1</v>
      </c>
      <c r="I8" s="17">
        <v>1</v>
      </c>
      <c r="J8" s="31" t="s">
        <v>8</v>
      </c>
      <c r="K8" s="17" t="s">
        <v>8</v>
      </c>
      <c r="L8" s="17" t="s">
        <v>8</v>
      </c>
      <c r="M8" s="14">
        <f>(37130-35760)*12</f>
        <v>16440</v>
      </c>
      <c r="N8" s="15">
        <f>(38500-37130)*12</f>
        <v>16440</v>
      </c>
      <c r="O8" s="26">
        <f>(39880-38500)*12</f>
        <v>16560</v>
      </c>
      <c r="P8" s="26">
        <f t="shared" ref="P8:P21" si="0">F8+M8</f>
        <v>445560</v>
      </c>
      <c r="Q8" s="14">
        <f t="shared" ref="Q8:R21" si="1">P8+N8</f>
        <v>462000</v>
      </c>
      <c r="R8" s="27">
        <f t="shared" si="1"/>
        <v>478560</v>
      </c>
      <c r="S8" s="61"/>
    </row>
    <row r="9" spans="1:20" ht="21.75" customHeight="1">
      <c r="A9" s="10">
        <v>2</v>
      </c>
      <c r="B9" s="41" t="s">
        <v>91</v>
      </c>
      <c r="C9" s="52">
        <v>7</v>
      </c>
      <c r="D9" s="46">
        <v>3</v>
      </c>
      <c r="E9" s="44">
        <v>1</v>
      </c>
      <c r="F9" s="14">
        <f>31340*12</f>
        <v>376080</v>
      </c>
      <c r="G9" s="11">
        <v>3</v>
      </c>
      <c r="H9" s="17">
        <v>3</v>
      </c>
      <c r="I9" s="17">
        <v>3</v>
      </c>
      <c r="J9" s="185">
        <v>2</v>
      </c>
      <c r="K9" s="17" t="s">
        <v>8</v>
      </c>
      <c r="L9" s="17" t="s">
        <v>8</v>
      </c>
      <c r="M9" s="14">
        <f>(32450-31340)*12+(367080*2)</f>
        <v>747480</v>
      </c>
      <c r="N9" s="15">
        <f>(33560-32450)*12+(13920*2)</f>
        <v>41160</v>
      </c>
      <c r="O9" s="26">
        <f>(34680-33560)*12+(13920*2)</f>
        <v>41280</v>
      </c>
      <c r="P9" s="26">
        <f t="shared" si="0"/>
        <v>1123560</v>
      </c>
      <c r="Q9" s="14">
        <f t="shared" si="1"/>
        <v>1164720</v>
      </c>
      <c r="R9" s="27">
        <f t="shared" si="1"/>
        <v>1206000</v>
      </c>
      <c r="S9" s="61"/>
    </row>
    <row r="10" spans="1:20" ht="21.75" customHeight="1">
      <c r="A10" s="10">
        <v>3</v>
      </c>
      <c r="B10" s="41" t="s">
        <v>92</v>
      </c>
      <c r="C10" s="52">
        <v>5</v>
      </c>
      <c r="D10" s="46">
        <v>1</v>
      </c>
      <c r="E10" s="44">
        <v>1</v>
      </c>
      <c r="F10" s="14">
        <f>18950*12</f>
        <v>227400</v>
      </c>
      <c r="G10" s="11">
        <v>1</v>
      </c>
      <c r="H10" s="17">
        <v>1</v>
      </c>
      <c r="I10" s="17">
        <v>1</v>
      </c>
      <c r="J10" s="17" t="s">
        <v>8</v>
      </c>
      <c r="K10" s="17" t="s">
        <v>8</v>
      </c>
      <c r="L10" s="17" t="s">
        <v>8</v>
      </c>
      <c r="M10" s="14">
        <f>(19660-18950)*12</f>
        <v>8520</v>
      </c>
      <c r="N10" s="15">
        <f>(20400-19660)*12</f>
        <v>8880</v>
      </c>
      <c r="O10" s="26">
        <f>(21140-20400)*12</f>
        <v>8880</v>
      </c>
      <c r="P10" s="26">
        <f t="shared" si="0"/>
        <v>235920</v>
      </c>
      <c r="Q10" s="14">
        <f t="shared" si="1"/>
        <v>244800</v>
      </c>
      <c r="R10" s="27">
        <f t="shared" si="1"/>
        <v>253680</v>
      </c>
      <c r="S10" s="61"/>
    </row>
    <row r="11" spans="1:20" ht="21.75" customHeight="1">
      <c r="A11" s="10"/>
      <c r="B11" s="41" t="s">
        <v>92</v>
      </c>
      <c r="C11" s="52" t="s">
        <v>220</v>
      </c>
      <c r="D11" s="46">
        <v>1</v>
      </c>
      <c r="E11" s="44" t="s">
        <v>8</v>
      </c>
      <c r="F11" s="14" t="s">
        <v>8</v>
      </c>
      <c r="G11" s="11" t="s">
        <v>8</v>
      </c>
      <c r="H11" s="17">
        <v>1</v>
      </c>
      <c r="I11" s="17">
        <v>1</v>
      </c>
      <c r="J11" s="17" t="s">
        <v>8</v>
      </c>
      <c r="K11" s="185">
        <v>1</v>
      </c>
      <c r="L11" s="17" t="s">
        <v>8</v>
      </c>
      <c r="M11" s="14" t="s">
        <v>8</v>
      </c>
      <c r="N11" s="15">
        <v>242700</v>
      </c>
      <c r="O11" s="26">
        <v>8580</v>
      </c>
      <c r="P11" s="26" t="s">
        <v>8</v>
      </c>
      <c r="Q11" s="14">
        <f>N11</f>
        <v>242700</v>
      </c>
      <c r="R11" s="27">
        <f>Q11+O11</f>
        <v>251280</v>
      </c>
      <c r="S11" s="61"/>
    </row>
    <row r="12" spans="1:20" ht="21.75" customHeight="1">
      <c r="A12" s="10">
        <v>4</v>
      </c>
      <c r="B12" s="41" t="s">
        <v>94</v>
      </c>
      <c r="C12" s="52" t="s">
        <v>37</v>
      </c>
      <c r="D12" s="46">
        <v>1</v>
      </c>
      <c r="E12" s="44">
        <v>1</v>
      </c>
      <c r="F12" s="14">
        <f>26580*12</f>
        <v>318960</v>
      </c>
      <c r="G12" s="11">
        <v>1</v>
      </c>
      <c r="H12" s="17">
        <v>1</v>
      </c>
      <c r="I12" s="17">
        <v>1</v>
      </c>
      <c r="J12" s="17" t="s">
        <v>8</v>
      </c>
      <c r="K12" s="17" t="s">
        <v>8</v>
      </c>
      <c r="L12" s="17" t="s">
        <v>8</v>
      </c>
      <c r="M12" s="14">
        <f>(27490-26580)*12</f>
        <v>10920</v>
      </c>
      <c r="N12" s="15">
        <f>(28430-27490)*12</f>
        <v>11280</v>
      </c>
      <c r="O12" s="26">
        <f>(29340-28430)*12</f>
        <v>10920</v>
      </c>
      <c r="P12" s="26">
        <f t="shared" si="0"/>
        <v>329880</v>
      </c>
      <c r="Q12" s="14">
        <f t="shared" si="1"/>
        <v>341160</v>
      </c>
      <c r="R12" s="27">
        <f t="shared" si="1"/>
        <v>352080</v>
      </c>
      <c r="S12" s="61"/>
    </row>
    <row r="13" spans="1:20" ht="21.75" customHeight="1">
      <c r="A13" s="10">
        <v>5</v>
      </c>
      <c r="B13" s="41" t="s">
        <v>93</v>
      </c>
      <c r="C13" s="52">
        <v>5</v>
      </c>
      <c r="D13" s="46">
        <v>1</v>
      </c>
      <c r="E13" s="44">
        <v>1</v>
      </c>
      <c r="F13" s="14">
        <f>15000*12</f>
        <v>180000</v>
      </c>
      <c r="G13" s="11">
        <v>1</v>
      </c>
      <c r="H13" s="17">
        <v>1</v>
      </c>
      <c r="I13" s="17">
        <v>1</v>
      </c>
      <c r="J13" s="17" t="s">
        <v>8</v>
      </c>
      <c r="K13" s="17" t="s">
        <v>8</v>
      </c>
      <c r="L13" s="17" t="s">
        <v>8</v>
      </c>
      <c r="M13" s="14">
        <f>(15610-15000)*12</f>
        <v>7320</v>
      </c>
      <c r="N13" s="15">
        <f>(16240-15610)*12</f>
        <v>7560</v>
      </c>
      <c r="O13" s="26">
        <f>(16880-16240)*12</f>
        <v>7680</v>
      </c>
      <c r="P13" s="26">
        <f t="shared" si="0"/>
        <v>187320</v>
      </c>
      <c r="Q13" s="14">
        <f t="shared" si="1"/>
        <v>194880</v>
      </c>
      <c r="R13" s="27">
        <f t="shared" si="1"/>
        <v>202560</v>
      </c>
      <c r="S13" s="61"/>
    </row>
    <row r="14" spans="1:20" ht="21.75" customHeight="1">
      <c r="A14" s="10"/>
      <c r="B14" s="41" t="s">
        <v>93</v>
      </c>
      <c r="C14" s="52" t="s">
        <v>217</v>
      </c>
      <c r="D14" s="46">
        <v>1</v>
      </c>
      <c r="E14" s="44" t="s">
        <v>8</v>
      </c>
      <c r="F14" s="14" t="s">
        <v>8</v>
      </c>
      <c r="G14" s="11" t="s">
        <v>8</v>
      </c>
      <c r="H14" s="17">
        <v>1</v>
      </c>
      <c r="I14" s="17">
        <v>1</v>
      </c>
      <c r="J14" s="17" t="s">
        <v>8</v>
      </c>
      <c r="K14" s="185">
        <v>1</v>
      </c>
      <c r="L14" s="17" t="s">
        <v>8</v>
      </c>
      <c r="M14" s="14" t="s">
        <v>8</v>
      </c>
      <c r="N14" s="15">
        <v>233820</v>
      </c>
      <c r="O14" s="26">
        <v>7080</v>
      </c>
      <c r="P14" s="26" t="s">
        <v>8</v>
      </c>
      <c r="Q14" s="14">
        <f>N14</f>
        <v>233820</v>
      </c>
      <c r="R14" s="27">
        <f>Q14+O14</f>
        <v>240900</v>
      </c>
      <c r="S14" s="61"/>
    </row>
    <row r="15" spans="1:20" ht="21.75" customHeight="1">
      <c r="A15" s="10"/>
      <c r="B15" s="41" t="s">
        <v>221</v>
      </c>
      <c r="C15" s="52" t="s">
        <v>222</v>
      </c>
      <c r="D15" s="46">
        <v>1</v>
      </c>
      <c r="E15" s="44" t="s">
        <v>8</v>
      </c>
      <c r="F15" s="14" t="s">
        <v>8</v>
      </c>
      <c r="G15" s="11" t="s">
        <v>8</v>
      </c>
      <c r="H15" s="17">
        <v>1</v>
      </c>
      <c r="I15" s="17">
        <v>1</v>
      </c>
      <c r="J15" s="17" t="s">
        <v>8</v>
      </c>
      <c r="K15" s="185">
        <v>1</v>
      </c>
      <c r="L15" s="17" t="s">
        <v>8</v>
      </c>
      <c r="M15" s="14" t="s">
        <v>8</v>
      </c>
      <c r="N15" s="15">
        <v>165780</v>
      </c>
      <c r="O15" s="26">
        <v>5640</v>
      </c>
      <c r="P15" s="26" t="s">
        <v>8</v>
      </c>
      <c r="Q15" s="14">
        <f>N15</f>
        <v>165780</v>
      </c>
      <c r="R15" s="27">
        <f>Q15+O15</f>
        <v>171420</v>
      </c>
      <c r="S15" s="61"/>
    </row>
    <row r="16" spans="1:20" ht="21.75" customHeight="1">
      <c r="A16" s="10">
        <v>6</v>
      </c>
      <c r="B16" s="41" t="s">
        <v>95</v>
      </c>
      <c r="C16" s="52" t="s">
        <v>37</v>
      </c>
      <c r="D16" s="46">
        <v>1</v>
      </c>
      <c r="E16" s="44">
        <v>1</v>
      </c>
      <c r="F16" s="14">
        <f>22490*12</f>
        <v>269880</v>
      </c>
      <c r="G16" s="11">
        <v>1</v>
      </c>
      <c r="H16" s="17">
        <v>1</v>
      </c>
      <c r="I16" s="17">
        <v>1</v>
      </c>
      <c r="J16" s="17" t="s">
        <v>8</v>
      </c>
      <c r="K16" s="17" t="s">
        <v>8</v>
      </c>
      <c r="L16" s="17" t="s">
        <v>8</v>
      </c>
      <c r="M16" s="14">
        <f>(23370-22490)*12</f>
        <v>10560</v>
      </c>
      <c r="N16" s="14">
        <f>(24270-23370)*12</f>
        <v>10800</v>
      </c>
      <c r="O16" s="14">
        <f>(25190-24270)*12</f>
        <v>11040</v>
      </c>
      <c r="P16" s="26">
        <f t="shared" si="0"/>
        <v>280440</v>
      </c>
      <c r="Q16" s="14">
        <f t="shared" si="1"/>
        <v>291240</v>
      </c>
      <c r="R16" s="27">
        <f t="shared" si="1"/>
        <v>302280</v>
      </c>
      <c r="S16" s="61"/>
      <c r="T16" s="85" t="s">
        <v>50</v>
      </c>
    </row>
    <row r="17" spans="1:19" ht="21.75" customHeight="1">
      <c r="A17" s="10">
        <v>7</v>
      </c>
      <c r="B17" s="41" t="s">
        <v>96</v>
      </c>
      <c r="C17" s="52">
        <v>3</v>
      </c>
      <c r="D17" s="46">
        <v>1</v>
      </c>
      <c r="E17" s="44">
        <v>1</v>
      </c>
      <c r="F17" s="14">
        <f>13570*12</f>
        <v>162840</v>
      </c>
      <c r="G17" s="11">
        <v>1</v>
      </c>
      <c r="H17" s="17">
        <v>1</v>
      </c>
      <c r="I17" s="17">
        <v>1</v>
      </c>
      <c r="J17" s="17" t="s">
        <v>8</v>
      </c>
      <c r="K17" s="17" t="s">
        <v>8</v>
      </c>
      <c r="L17" s="17" t="s">
        <v>8</v>
      </c>
      <c r="M17" s="14">
        <f>(14060-13570)*12</f>
        <v>5880</v>
      </c>
      <c r="N17" s="14">
        <f>(14560-14060)*12</f>
        <v>6000</v>
      </c>
      <c r="O17" s="14">
        <f>(15060-14560)*12</f>
        <v>6000</v>
      </c>
      <c r="P17" s="26">
        <f t="shared" si="0"/>
        <v>168720</v>
      </c>
      <c r="Q17" s="14">
        <f t="shared" si="1"/>
        <v>174720</v>
      </c>
      <c r="R17" s="27">
        <f t="shared" si="1"/>
        <v>180720</v>
      </c>
      <c r="S17" s="61"/>
    </row>
    <row r="18" spans="1:19" ht="21.75" customHeight="1">
      <c r="A18" s="10"/>
      <c r="B18" s="41" t="s">
        <v>223</v>
      </c>
      <c r="C18" s="52" t="s">
        <v>222</v>
      </c>
      <c r="D18" s="46">
        <v>1</v>
      </c>
      <c r="E18" s="44" t="s">
        <v>8</v>
      </c>
      <c r="F18" s="14" t="s">
        <v>8</v>
      </c>
      <c r="G18" s="11" t="s">
        <v>8</v>
      </c>
      <c r="H18" s="17">
        <v>1</v>
      </c>
      <c r="I18" s="17">
        <v>1</v>
      </c>
      <c r="J18" s="17" t="s">
        <v>8</v>
      </c>
      <c r="K18" s="185">
        <v>1</v>
      </c>
      <c r="L18" s="17" t="s">
        <v>8</v>
      </c>
      <c r="M18" s="14" t="s">
        <v>8</v>
      </c>
      <c r="N18" s="15">
        <v>165780</v>
      </c>
      <c r="O18" s="26">
        <v>5640</v>
      </c>
      <c r="P18" s="26" t="s">
        <v>8</v>
      </c>
      <c r="Q18" s="14">
        <f>N18</f>
        <v>165780</v>
      </c>
      <c r="R18" s="27">
        <f>Q18+O18</f>
        <v>171420</v>
      </c>
      <c r="S18" s="61"/>
    </row>
    <row r="19" spans="1:19" ht="21.75" customHeight="1">
      <c r="A19" s="10">
        <v>8</v>
      </c>
      <c r="B19" s="41" t="s">
        <v>97</v>
      </c>
      <c r="C19" s="52">
        <v>5</v>
      </c>
      <c r="D19" s="46">
        <v>1</v>
      </c>
      <c r="E19" s="44">
        <v>1</v>
      </c>
      <c r="F19" s="14">
        <f>18950*12</f>
        <v>227400</v>
      </c>
      <c r="G19" s="11">
        <v>1</v>
      </c>
      <c r="H19" s="17">
        <v>1</v>
      </c>
      <c r="I19" s="17">
        <v>1</v>
      </c>
      <c r="J19" s="17" t="s">
        <v>8</v>
      </c>
      <c r="K19" s="17" t="s">
        <v>8</v>
      </c>
      <c r="L19" s="17" t="s">
        <v>8</v>
      </c>
      <c r="M19" s="14">
        <f>(19660-18950)*12</f>
        <v>8520</v>
      </c>
      <c r="N19" s="14">
        <f>(20400-19660)*12</f>
        <v>8880</v>
      </c>
      <c r="O19" s="14">
        <f>(21140-20400)*12</f>
        <v>8880</v>
      </c>
      <c r="P19" s="26">
        <f t="shared" si="0"/>
        <v>235920</v>
      </c>
      <c r="Q19" s="14">
        <f t="shared" si="1"/>
        <v>244800</v>
      </c>
      <c r="R19" s="27">
        <f t="shared" si="1"/>
        <v>253680</v>
      </c>
      <c r="S19" s="61"/>
    </row>
    <row r="20" spans="1:19" ht="21.75" customHeight="1">
      <c r="A20" s="10"/>
      <c r="B20" s="41" t="s">
        <v>225</v>
      </c>
      <c r="C20" s="52" t="s">
        <v>222</v>
      </c>
      <c r="D20" s="46">
        <v>1</v>
      </c>
      <c r="E20" s="44" t="s">
        <v>8</v>
      </c>
      <c r="F20" s="14" t="s">
        <v>8</v>
      </c>
      <c r="G20" s="11" t="s">
        <v>8</v>
      </c>
      <c r="H20" s="17">
        <v>1</v>
      </c>
      <c r="I20" s="17">
        <v>1</v>
      </c>
      <c r="J20" s="17" t="s">
        <v>8</v>
      </c>
      <c r="K20" s="185">
        <v>1</v>
      </c>
      <c r="L20" s="17" t="s">
        <v>8</v>
      </c>
      <c r="M20" s="14" t="s">
        <v>8</v>
      </c>
      <c r="N20" s="15">
        <v>165780</v>
      </c>
      <c r="O20" s="26">
        <v>5640</v>
      </c>
      <c r="P20" s="26" t="s">
        <v>8</v>
      </c>
      <c r="Q20" s="14">
        <f>N20</f>
        <v>165780</v>
      </c>
      <c r="R20" s="27">
        <f>Q20+O20</f>
        <v>171420</v>
      </c>
      <c r="S20" s="61"/>
    </row>
    <row r="21" spans="1:19" ht="21.75" customHeight="1">
      <c r="A21" s="10">
        <v>9</v>
      </c>
      <c r="B21" s="41" t="s">
        <v>98</v>
      </c>
      <c r="C21" s="52">
        <v>5</v>
      </c>
      <c r="D21" s="46">
        <v>1</v>
      </c>
      <c r="E21" s="44">
        <v>1</v>
      </c>
      <c r="F21" s="14">
        <f>18950*12</f>
        <v>227400</v>
      </c>
      <c r="G21" s="11">
        <v>1</v>
      </c>
      <c r="H21" s="17">
        <v>1</v>
      </c>
      <c r="I21" s="17">
        <v>1</v>
      </c>
      <c r="J21" s="17" t="s">
        <v>8</v>
      </c>
      <c r="K21" s="17" t="s">
        <v>8</v>
      </c>
      <c r="L21" s="17" t="s">
        <v>8</v>
      </c>
      <c r="M21" s="14">
        <f>(19660-18950)*12</f>
        <v>8520</v>
      </c>
      <c r="N21" s="14">
        <f>(20400-19660)*12</f>
        <v>8880</v>
      </c>
      <c r="O21" s="14">
        <f>(21140-20400)*12</f>
        <v>8880</v>
      </c>
      <c r="P21" s="26">
        <f t="shared" si="0"/>
        <v>235920</v>
      </c>
      <c r="Q21" s="14">
        <f t="shared" si="1"/>
        <v>244800</v>
      </c>
      <c r="R21" s="27">
        <f t="shared" si="1"/>
        <v>253680</v>
      </c>
      <c r="S21" s="61"/>
    </row>
    <row r="22" spans="1:19" ht="21.75" customHeight="1">
      <c r="A22" s="10"/>
      <c r="B22" s="41" t="s">
        <v>224</v>
      </c>
      <c r="C22" s="52" t="s">
        <v>222</v>
      </c>
      <c r="D22" s="46">
        <v>1</v>
      </c>
      <c r="E22" s="44" t="s">
        <v>8</v>
      </c>
      <c r="F22" s="14" t="s">
        <v>8</v>
      </c>
      <c r="G22" s="11" t="s">
        <v>8</v>
      </c>
      <c r="H22" s="17">
        <v>1</v>
      </c>
      <c r="I22" s="17">
        <v>1</v>
      </c>
      <c r="J22" s="17" t="s">
        <v>8</v>
      </c>
      <c r="K22" s="185">
        <v>1</v>
      </c>
      <c r="L22" s="17" t="s">
        <v>8</v>
      </c>
      <c r="M22" s="14" t="s">
        <v>8</v>
      </c>
      <c r="N22" s="15">
        <v>165780</v>
      </c>
      <c r="O22" s="26">
        <v>5640</v>
      </c>
      <c r="P22" s="26" t="s">
        <v>8</v>
      </c>
      <c r="Q22" s="14">
        <f>N22</f>
        <v>165780</v>
      </c>
      <c r="R22" s="27">
        <f>Q22+O22</f>
        <v>171420</v>
      </c>
      <c r="S22" s="61"/>
    </row>
    <row r="23" spans="1:19" ht="21.75" customHeight="1">
      <c r="A23" s="10"/>
      <c r="B23" s="144" t="s">
        <v>18</v>
      </c>
      <c r="C23" s="52"/>
      <c r="D23" s="46"/>
      <c r="E23" s="44"/>
      <c r="F23" s="14"/>
      <c r="G23" s="11"/>
      <c r="H23" s="17"/>
      <c r="I23" s="17"/>
      <c r="J23" s="17"/>
      <c r="K23" s="17"/>
      <c r="L23" s="17"/>
      <c r="M23" s="14"/>
      <c r="N23" s="15"/>
      <c r="O23" s="26"/>
      <c r="P23" s="26"/>
      <c r="Q23" s="14"/>
      <c r="R23" s="27"/>
      <c r="S23" s="61"/>
    </row>
    <row r="24" spans="1:19" ht="21.75" customHeight="1">
      <c r="A24" s="10"/>
      <c r="B24" s="42" t="s">
        <v>117</v>
      </c>
      <c r="C24" s="52" t="s">
        <v>8</v>
      </c>
      <c r="D24" s="46">
        <v>1</v>
      </c>
      <c r="E24" s="44">
        <v>1</v>
      </c>
      <c r="F24" s="14">
        <f>14570*12</f>
        <v>174840</v>
      </c>
      <c r="G24" s="11">
        <v>1</v>
      </c>
      <c r="H24" s="17">
        <v>1</v>
      </c>
      <c r="I24" s="17">
        <v>1</v>
      </c>
      <c r="J24" s="17" t="s">
        <v>8</v>
      </c>
      <c r="K24" s="17" t="s">
        <v>8</v>
      </c>
      <c r="L24" s="17" t="s">
        <v>8</v>
      </c>
      <c r="M24" s="14">
        <f>(15140-14570)*12</f>
        <v>6840</v>
      </c>
      <c r="N24" s="14">
        <f>(15720-15140)*12</f>
        <v>6960</v>
      </c>
      <c r="O24" s="14">
        <f>(16340-15720)*12</f>
        <v>7440</v>
      </c>
      <c r="P24" s="26">
        <f>F24+M24</f>
        <v>181680</v>
      </c>
      <c r="Q24" s="14">
        <f>P24+N24</f>
        <v>188640</v>
      </c>
      <c r="R24" s="27">
        <f>Q24+O24</f>
        <v>196080</v>
      </c>
      <c r="S24" s="61"/>
    </row>
    <row r="25" spans="1:19" ht="21.75" customHeight="1">
      <c r="A25" s="10"/>
      <c r="B25" s="144" t="s">
        <v>62</v>
      </c>
      <c r="C25" s="52"/>
      <c r="D25" s="46"/>
      <c r="E25" s="44"/>
      <c r="F25" s="14"/>
      <c r="G25" s="11"/>
      <c r="H25" s="17"/>
      <c r="I25" s="17"/>
      <c r="J25" s="17"/>
      <c r="K25" s="17"/>
      <c r="L25" s="17"/>
      <c r="M25" s="14"/>
      <c r="N25" s="15"/>
      <c r="O25" s="26"/>
      <c r="P25" s="26"/>
      <c r="Q25" s="14"/>
      <c r="R25" s="27"/>
      <c r="S25" s="61"/>
    </row>
    <row r="26" spans="1:19" ht="21.75" customHeight="1">
      <c r="A26" s="10"/>
      <c r="B26" s="42" t="s">
        <v>231</v>
      </c>
      <c r="C26" s="52" t="s">
        <v>8</v>
      </c>
      <c r="D26" s="46">
        <v>1</v>
      </c>
      <c r="E26" s="44" t="s">
        <v>25</v>
      </c>
      <c r="F26" s="14" t="s">
        <v>8</v>
      </c>
      <c r="G26" s="11">
        <v>1</v>
      </c>
      <c r="H26" s="17">
        <v>1</v>
      </c>
      <c r="I26" s="17">
        <v>1</v>
      </c>
      <c r="J26" s="185">
        <v>1</v>
      </c>
      <c r="K26" s="17" t="s">
        <v>8</v>
      </c>
      <c r="L26" s="17" t="s">
        <v>8</v>
      </c>
      <c r="M26" s="14">
        <v>180000</v>
      </c>
      <c r="N26" s="15">
        <v>7200</v>
      </c>
      <c r="O26" s="26">
        <v>7560</v>
      </c>
      <c r="P26" s="26">
        <f>M26</f>
        <v>180000</v>
      </c>
      <c r="Q26" s="14">
        <f>P26+N26</f>
        <v>187200</v>
      </c>
      <c r="R26" s="27">
        <f>Q26+O26</f>
        <v>194760</v>
      </c>
      <c r="S26" s="61"/>
    </row>
    <row r="27" spans="1:19" ht="21.75" customHeight="1">
      <c r="A27" s="10"/>
      <c r="B27" s="42" t="s">
        <v>123</v>
      </c>
      <c r="C27" s="52" t="s">
        <v>8</v>
      </c>
      <c r="D27" s="46">
        <v>2</v>
      </c>
      <c r="E27" s="44">
        <v>1</v>
      </c>
      <c r="F27" s="14">
        <f>10780*12</f>
        <v>129360</v>
      </c>
      <c r="G27" s="13">
        <v>2</v>
      </c>
      <c r="H27" s="12">
        <v>2</v>
      </c>
      <c r="I27" s="12">
        <v>2</v>
      </c>
      <c r="J27" s="185">
        <v>1</v>
      </c>
      <c r="K27" s="12" t="s">
        <v>8</v>
      </c>
      <c r="L27" s="12" t="s">
        <v>8</v>
      </c>
      <c r="M27" s="14">
        <f>(440*12)+112800</f>
        <v>118080</v>
      </c>
      <c r="N27" s="15">
        <f>450*12+4560</f>
        <v>9960</v>
      </c>
      <c r="O27" s="26">
        <f>470*12+4800</f>
        <v>10440</v>
      </c>
      <c r="P27" s="14">
        <f>F27+M27</f>
        <v>247440</v>
      </c>
      <c r="Q27" s="14">
        <f>P27+N27</f>
        <v>257400</v>
      </c>
      <c r="R27" s="27">
        <f>Q27+O27</f>
        <v>267840</v>
      </c>
      <c r="S27" s="61"/>
    </row>
    <row r="28" spans="1:19" ht="21.75" customHeight="1">
      <c r="A28" s="10"/>
      <c r="B28" s="42" t="s">
        <v>129</v>
      </c>
      <c r="C28" s="52" t="s">
        <v>8</v>
      </c>
      <c r="D28" s="46">
        <v>1</v>
      </c>
      <c r="E28" s="44">
        <v>1</v>
      </c>
      <c r="F28" s="14">
        <f>10780*12</f>
        <v>129360</v>
      </c>
      <c r="G28" s="13">
        <v>1</v>
      </c>
      <c r="H28" s="12">
        <v>1</v>
      </c>
      <c r="I28" s="12">
        <v>1</v>
      </c>
      <c r="J28" s="12" t="s">
        <v>8</v>
      </c>
      <c r="K28" s="12" t="s">
        <v>8</v>
      </c>
      <c r="L28" s="12" t="s">
        <v>8</v>
      </c>
      <c r="M28" s="14">
        <f>440*12</f>
        <v>5280</v>
      </c>
      <c r="N28" s="15">
        <f>450*12</f>
        <v>5400</v>
      </c>
      <c r="O28" s="26">
        <f>470*12</f>
        <v>5640</v>
      </c>
      <c r="P28" s="14">
        <f>F28+M28</f>
        <v>134640</v>
      </c>
      <c r="Q28" s="14">
        <f t="shared" ref="Q28:R29" si="2">P28+N28</f>
        <v>140040</v>
      </c>
      <c r="R28" s="27">
        <f t="shared" si="2"/>
        <v>145680</v>
      </c>
      <c r="S28" s="61"/>
    </row>
    <row r="29" spans="1:19" ht="21.75" customHeight="1">
      <c r="A29" s="10"/>
      <c r="B29" s="42" t="s">
        <v>130</v>
      </c>
      <c r="C29" s="52" t="s">
        <v>8</v>
      </c>
      <c r="D29" s="46">
        <v>1</v>
      </c>
      <c r="E29" s="44">
        <v>1</v>
      </c>
      <c r="F29" s="14">
        <f>10780*12</f>
        <v>129360</v>
      </c>
      <c r="G29" s="13">
        <v>1</v>
      </c>
      <c r="H29" s="12">
        <v>1</v>
      </c>
      <c r="I29" s="12">
        <v>1</v>
      </c>
      <c r="J29" s="12" t="s">
        <v>8</v>
      </c>
      <c r="K29" s="12" t="s">
        <v>8</v>
      </c>
      <c r="L29" s="12" t="s">
        <v>8</v>
      </c>
      <c r="M29" s="14">
        <f>440*12</f>
        <v>5280</v>
      </c>
      <c r="N29" s="15">
        <f>450*12</f>
        <v>5400</v>
      </c>
      <c r="O29" s="26">
        <f>470*12</f>
        <v>5640</v>
      </c>
      <c r="P29" s="14">
        <f>F29+M29</f>
        <v>134640</v>
      </c>
      <c r="Q29" s="14">
        <f t="shared" si="2"/>
        <v>140040</v>
      </c>
      <c r="R29" s="27">
        <f t="shared" si="2"/>
        <v>145680</v>
      </c>
      <c r="S29" s="61"/>
    </row>
    <row r="30" spans="1:19" ht="21.75" customHeight="1">
      <c r="A30" s="10"/>
      <c r="B30" s="42" t="s">
        <v>131</v>
      </c>
      <c r="C30" s="52" t="s">
        <v>8</v>
      </c>
      <c r="D30" s="46">
        <v>3</v>
      </c>
      <c r="E30" s="44">
        <v>3</v>
      </c>
      <c r="F30" s="14">
        <v>393360</v>
      </c>
      <c r="G30" s="11">
        <v>3</v>
      </c>
      <c r="H30" s="17">
        <v>3</v>
      </c>
      <c r="I30" s="17">
        <v>3</v>
      </c>
      <c r="J30" s="12" t="s">
        <v>8</v>
      </c>
      <c r="K30" s="12" t="s">
        <v>8</v>
      </c>
      <c r="L30" s="12" t="s">
        <v>8</v>
      </c>
      <c r="M30" s="14">
        <v>15960</v>
      </c>
      <c r="N30" s="15">
        <v>16560</v>
      </c>
      <c r="O30" s="26">
        <v>17280</v>
      </c>
      <c r="P30" s="26">
        <v>409320</v>
      </c>
      <c r="Q30" s="14">
        <v>425880</v>
      </c>
      <c r="R30" s="27">
        <v>443160</v>
      </c>
      <c r="S30" s="61"/>
    </row>
    <row r="31" spans="1:19" s="153" customFormat="1" ht="21.75" customHeight="1">
      <c r="A31" s="148"/>
      <c r="B31" s="157" t="s">
        <v>165</v>
      </c>
      <c r="C31" s="149"/>
      <c r="D31" s="158"/>
      <c r="E31" s="165"/>
      <c r="F31" s="150">
        <f>11110*12</f>
        <v>133320</v>
      </c>
      <c r="G31" s="155"/>
      <c r="H31" s="156"/>
      <c r="I31" s="156"/>
      <c r="J31" s="156"/>
      <c r="K31" s="156"/>
      <c r="L31" s="156"/>
      <c r="M31" s="150">
        <f>450*12</f>
        <v>5400</v>
      </c>
      <c r="N31" s="151">
        <f>470*12</f>
        <v>5640</v>
      </c>
      <c r="O31" s="150">
        <f>490*12</f>
        <v>5880</v>
      </c>
      <c r="P31" s="151">
        <f>F31+M31</f>
        <v>138720</v>
      </c>
      <c r="Q31" s="150">
        <f t="shared" ref="Q31:R35" si="3">P31+N31</f>
        <v>144360</v>
      </c>
      <c r="R31" s="150">
        <f t="shared" si="3"/>
        <v>150240</v>
      </c>
      <c r="S31" s="152"/>
    </row>
    <row r="32" spans="1:19" s="153" customFormat="1" ht="21.75" customHeight="1">
      <c r="A32" s="148"/>
      <c r="B32" s="157" t="s">
        <v>166</v>
      </c>
      <c r="C32" s="149"/>
      <c r="D32" s="158"/>
      <c r="E32" s="165"/>
      <c r="F32" s="150">
        <f>10780*12</f>
        <v>129360</v>
      </c>
      <c r="G32" s="159"/>
      <c r="H32" s="156"/>
      <c r="I32" s="156"/>
      <c r="J32" s="156"/>
      <c r="K32" s="156"/>
      <c r="L32" s="156"/>
      <c r="M32" s="150">
        <f>440*12</f>
        <v>5280</v>
      </c>
      <c r="N32" s="151">
        <f>450*12</f>
        <v>5400</v>
      </c>
      <c r="O32" s="160">
        <f>470*12</f>
        <v>5640</v>
      </c>
      <c r="P32" s="150">
        <f>F32+M32</f>
        <v>134640</v>
      </c>
      <c r="Q32" s="150">
        <f t="shared" si="3"/>
        <v>140040</v>
      </c>
      <c r="R32" s="161">
        <f t="shared" si="3"/>
        <v>145680</v>
      </c>
      <c r="S32" s="152"/>
    </row>
    <row r="33" spans="1:19" s="153" customFormat="1" ht="21.75" customHeight="1">
      <c r="A33" s="148"/>
      <c r="B33" s="157" t="s">
        <v>167</v>
      </c>
      <c r="C33" s="149"/>
      <c r="D33" s="158"/>
      <c r="E33" s="165"/>
      <c r="F33" s="150">
        <f>10890*12</f>
        <v>130680</v>
      </c>
      <c r="G33" s="155"/>
      <c r="H33" s="156"/>
      <c r="I33" s="156"/>
      <c r="J33" s="156"/>
      <c r="K33" s="156"/>
      <c r="L33" s="156"/>
      <c r="M33" s="150">
        <v>5280</v>
      </c>
      <c r="N33" s="151">
        <v>5520</v>
      </c>
      <c r="O33" s="150">
        <v>5760</v>
      </c>
      <c r="P33" s="151">
        <f>F33+M33</f>
        <v>135960</v>
      </c>
      <c r="Q33" s="150">
        <f t="shared" si="3"/>
        <v>141480</v>
      </c>
      <c r="R33" s="150">
        <f t="shared" si="3"/>
        <v>147240</v>
      </c>
      <c r="S33" s="152"/>
    </row>
    <row r="34" spans="1:19" ht="21.75" customHeight="1">
      <c r="A34" s="10"/>
      <c r="B34" s="42" t="s">
        <v>132</v>
      </c>
      <c r="C34" s="52" t="s">
        <v>8</v>
      </c>
      <c r="D34" s="46">
        <v>2</v>
      </c>
      <c r="E34" s="44">
        <v>2</v>
      </c>
      <c r="F34" s="14">
        <f>10680*12*2</f>
        <v>256320</v>
      </c>
      <c r="G34" s="13">
        <v>1</v>
      </c>
      <c r="H34" s="12">
        <v>1</v>
      </c>
      <c r="I34" s="12">
        <v>1</v>
      </c>
      <c r="J34" s="12" t="s">
        <v>8</v>
      </c>
      <c r="K34" s="12" t="s">
        <v>8</v>
      </c>
      <c r="L34" s="12" t="s">
        <v>8</v>
      </c>
      <c r="M34" s="14">
        <f>430*12*2</f>
        <v>10320</v>
      </c>
      <c r="N34" s="15">
        <f>450*12*2</f>
        <v>10800</v>
      </c>
      <c r="O34" s="14">
        <f>470*12*2</f>
        <v>11280</v>
      </c>
      <c r="P34" s="15">
        <f>F34+M34</f>
        <v>266640</v>
      </c>
      <c r="Q34" s="14">
        <f t="shared" si="3"/>
        <v>277440</v>
      </c>
      <c r="R34" s="14">
        <f t="shared" si="3"/>
        <v>288720</v>
      </c>
      <c r="S34" s="61"/>
    </row>
    <row r="35" spans="1:19" ht="21.75" customHeight="1">
      <c r="A35" s="10"/>
      <c r="B35" s="42" t="s">
        <v>229</v>
      </c>
      <c r="C35" s="52" t="s">
        <v>8</v>
      </c>
      <c r="D35" s="46">
        <v>1</v>
      </c>
      <c r="E35" s="44" t="s">
        <v>8</v>
      </c>
      <c r="F35" s="14" t="s">
        <v>8</v>
      </c>
      <c r="G35" s="13">
        <v>1</v>
      </c>
      <c r="H35" s="12">
        <v>1</v>
      </c>
      <c r="I35" s="12">
        <v>1</v>
      </c>
      <c r="J35" s="185">
        <v>1</v>
      </c>
      <c r="K35" s="12" t="s">
        <v>8</v>
      </c>
      <c r="L35" s="12" t="s">
        <v>8</v>
      </c>
      <c r="M35" s="14">
        <v>138000</v>
      </c>
      <c r="N35" s="15">
        <v>5520</v>
      </c>
      <c r="O35" s="26">
        <v>5760</v>
      </c>
      <c r="P35" s="14">
        <f>M35</f>
        <v>138000</v>
      </c>
      <c r="Q35" s="14">
        <f>P35+N35</f>
        <v>143520</v>
      </c>
      <c r="R35" s="14">
        <f t="shared" si="3"/>
        <v>149280</v>
      </c>
      <c r="S35" s="61"/>
    </row>
    <row r="36" spans="1:19" ht="21.75" customHeight="1">
      <c r="A36" s="10"/>
      <c r="B36" s="42" t="s">
        <v>133</v>
      </c>
      <c r="C36" s="52" t="s">
        <v>8</v>
      </c>
      <c r="D36" s="46">
        <v>2</v>
      </c>
      <c r="E36" s="44">
        <v>2</v>
      </c>
      <c r="F36" s="14">
        <v>252120</v>
      </c>
      <c r="G36" s="11">
        <v>2</v>
      </c>
      <c r="H36" s="17">
        <v>2</v>
      </c>
      <c r="I36" s="17">
        <v>2</v>
      </c>
      <c r="J36" s="12" t="s">
        <v>8</v>
      </c>
      <c r="K36" s="12" t="s">
        <v>8</v>
      </c>
      <c r="L36" s="12" t="s">
        <v>8</v>
      </c>
      <c r="M36" s="14">
        <v>10200</v>
      </c>
      <c r="N36" s="15">
        <v>10680</v>
      </c>
      <c r="O36" s="26">
        <v>11040</v>
      </c>
      <c r="P36" s="26">
        <v>262320</v>
      </c>
      <c r="Q36" s="14">
        <v>273000</v>
      </c>
      <c r="R36" s="27">
        <v>284040</v>
      </c>
      <c r="S36" s="61"/>
    </row>
    <row r="37" spans="1:19" s="153" customFormat="1" ht="21.75" customHeight="1">
      <c r="A37" s="148"/>
      <c r="B37" s="157" t="s">
        <v>168</v>
      </c>
      <c r="C37" s="149"/>
      <c r="D37" s="158"/>
      <c r="E37" s="165"/>
      <c r="F37" s="150">
        <f>11110*12</f>
        <v>133320</v>
      </c>
      <c r="G37" s="155"/>
      <c r="H37" s="156"/>
      <c r="I37" s="156"/>
      <c r="J37" s="156"/>
      <c r="K37" s="156"/>
      <c r="L37" s="156"/>
      <c r="M37" s="150">
        <f>450*12</f>
        <v>5400</v>
      </c>
      <c r="N37" s="151">
        <f>470*12</f>
        <v>5640</v>
      </c>
      <c r="O37" s="150">
        <f>490*12</f>
        <v>5880</v>
      </c>
      <c r="P37" s="151">
        <f t="shared" ref="P37:P51" si="4">F37+M37</f>
        <v>138720</v>
      </c>
      <c r="Q37" s="150">
        <f t="shared" ref="Q37:R51" si="5">P37+N37</f>
        <v>144360</v>
      </c>
      <c r="R37" s="150">
        <f>Q37+O37</f>
        <v>150240</v>
      </c>
      <c r="S37" s="152"/>
    </row>
    <row r="38" spans="1:19" s="153" customFormat="1" ht="21.75" customHeight="1">
      <c r="A38" s="148"/>
      <c r="B38" s="157" t="s">
        <v>169</v>
      </c>
      <c r="C38" s="149"/>
      <c r="D38" s="158"/>
      <c r="E38" s="165"/>
      <c r="F38" s="150">
        <f>9900*12</f>
        <v>118800</v>
      </c>
      <c r="G38" s="159"/>
      <c r="H38" s="156"/>
      <c r="I38" s="156"/>
      <c r="J38" s="156"/>
      <c r="K38" s="156"/>
      <c r="L38" s="156"/>
      <c r="M38" s="150">
        <v>4800</v>
      </c>
      <c r="N38" s="151">
        <v>5040</v>
      </c>
      <c r="O38" s="150">
        <v>5160</v>
      </c>
      <c r="P38" s="151">
        <f t="shared" si="4"/>
        <v>123600</v>
      </c>
      <c r="Q38" s="150">
        <f t="shared" si="5"/>
        <v>128640</v>
      </c>
      <c r="R38" s="150">
        <f t="shared" si="5"/>
        <v>133800</v>
      </c>
      <c r="S38" s="152"/>
    </row>
    <row r="39" spans="1:19" s="153" customFormat="1" ht="21.75" customHeight="1">
      <c r="A39" s="148"/>
      <c r="B39" s="42" t="s">
        <v>230</v>
      </c>
      <c r="C39" s="52" t="s">
        <v>8</v>
      </c>
      <c r="D39" s="46">
        <v>1</v>
      </c>
      <c r="E39" s="44" t="s">
        <v>8</v>
      </c>
      <c r="F39" s="14" t="s">
        <v>8</v>
      </c>
      <c r="G39" s="13">
        <v>1</v>
      </c>
      <c r="H39" s="12">
        <v>1</v>
      </c>
      <c r="I39" s="12">
        <v>1</v>
      </c>
      <c r="J39" s="185">
        <v>1</v>
      </c>
      <c r="K39" s="12" t="s">
        <v>8</v>
      </c>
      <c r="L39" s="12" t="s">
        <v>8</v>
      </c>
      <c r="M39" s="14">
        <v>138000</v>
      </c>
      <c r="N39" s="15">
        <v>5520</v>
      </c>
      <c r="O39" s="14">
        <v>5760</v>
      </c>
      <c r="P39" s="15">
        <f>M39</f>
        <v>138000</v>
      </c>
      <c r="Q39" s="14">
        <f t="shared" si="5"/>
        <v>143520</v>
      </c>
      <c r="R39" s="14">
        <f t="shared" si="5"/>
        <v>149280</v>
      </c>
      <c r="S39" s="152"/>
    </row>
    <row r="40" spans="1:19" ht="21.75" customHeight="1">
      <c r="A40" s="10"/>
      <c r="B40" s="42" t="s">
        <v>134</v>
      </c>
      <c r="C40" s="52" t="s">
        <v>8</v>
      </c>
      <c r="D40" s="46">
        <v>2</v>
      </c>
      <c r="E40" s="44">
        <v>2</v>
      </c>
      <c r="F40" s="14">
        <f>9900*12*2</f>
        <v>237600</v>
      </c>
      <c r="G40" s="13">
        <v>2</v>
      </c>
      <c r="H40" s="12">
        <v>2</v>
      </c>
      <c r="I40" s="12">
        <v>2</v>
      </c>
      <c r="J40" s="12" t="s">
        <v>8</v>
      </c>
      <c r="K40" s="12" t="s">
        <v>8</v>
      </c>
      <c r="L40" s="12" t="s">
        <v>8</v>
      </c>
      <c r="M40" s="14">
        <f>4800*2</f>
        <v>9600</v>
      </c>
      <c r="N40" s="15">
        <f>5040*2</f>
        <v>10080</v>
      </c>
      <c r="O40" s="14">
        <f>5160*2</f>
        <v>10320</v>
      </c>
      <c r="P40" s="15">
        <f t="shared" si="4"/>
        <v>247200</v>
      </c>
      <c r="Q40" s="14">
        <f t="shared" si="5"/>
        <v>257280</v>
      </c>
      <c r="R40" s="14">
        <f t="shared" si="5"/>
        <v>267600</v>
      </c>
      <c r="S40" s="61"/>
    </row>
    <row r="41" spans="1:19" s="153" customFormat="1" ht="21.75" customHeight="1">
      <c r="A41" s="148"/>
      <c r="B41" s="157" t="s">
        <v>172</v>
      </c>
      <c r="C41" s="149"/>
      <c r="D41" s="158"/>
      <c r="E41" s="165"/>
      <c r="F41" s="150">
        <f>9900*12</f>
        <v>118800</v>
      </c>
      <c r="G41" s="159"/>
      <c r="H41" s="156"/>
      <c r="I41" s="156"/>
      <c r="J41" s="156"/>
      <c r="K41" s="156"/>
      <c r="L41" s="156"/>
      <c r="M41" s="150">
        <v>4800</v>
      </c>
      <c r="N41" s="151">
        <v>5040</v>
      </c>
      <c r="O41" s="150">
        <v>5160</v>
      </c>
      <c r="P41" s="151">
        <f t="shared" si="4"/>
        <v>123600</v>
      </c>
      <c r="Q41" s="150">
        <f t="shared" si="5"/>
        <v>128640</v>
      </c>
      <c r="R41" s="150">
        <f t="shared" si="5"/>
        <v>133800</v>
      </c>
      <c r="S41" s="152"/>
    </row>
    <row r="42" spans="1:19" s="153" customFormat="1" ht="21.75" customHeight="1">
      <c r="A42" s="148"/>
      <c r="B42" s="157" t="s">
        <v>173</v>
      </c>
      <c r="C42" s="149"/>
      <c r="D42" s="158"/>
      <c r="E42" s="165"/>
      <c r="F42" s="150">
        <f>9900*12</f>
        <v>118800</v>
      </c>
      <c r="G42" s="159"/>
      <c r="H42" s="156"/>
      <c r="I42" s="156"/>
      <c r="J42" s="156"/>
      <c r="K42" s="156"/>
      <c r="L42" s="156"/>
      <c r="M42" s="150">
        <v>4800</v>
      </c>
      <c r="N42" s="151">
        <v>5040</v>
      </c>
      <c r="O42" s="150">
        <v>5160</v>
      </c>
      <c r="P42" s="151">
        <f t="shared" si="4"/>
        <v>123600</v>
      </c>
      <c r="Q42" s="150">
        <f t="shared" si="5"/>
        <v>128640</v>
      </c>
      <c r="R42" s="150">
        <f t="shared" si="5"/>
        <v>133800</v>
      </c>
      <c r="S42" s="152"/>
    </row>
    <row r="43" spans="1:19" ht="21.75" customHeight="1">
      <c r="A43" s="10"/>
      <c r="B43" s="42" t="s">
        <v>135</v>
      </c>
      <c r="C43" s="52" t="s">
        <v>8</v>
      </c>
      <c r="D43" s="46">
        <v>4</v>
      </c>
      <c r="E43" s="44">
        <v>3</v>
      </c>
      <c r="F43" s="14">
        <v>610680</v>
      </c>
      <c r="G43" s="11">
        <v>4</v>
      </c>
      <c r="H43" s="17">
        <v>4</v>
      </c>
      <c r="I43" s="17">
        <v>4</v>
      </c>
      <c r="J43" s="185">
        <v>1</v>
      </c>
      <c r="K43" s="17" t="s">
        <v>8</v>
      </c>
      <c r="L43" s="17" t="s">
        <v>8</v>
      </c>
      <c r="M43" s="14">
        <f>24600+180000</f>
        <v>204600</v>
      </c>
      <c r="N43" s="15">
        <f>25560+7200</f>
        <v>32760</v>
      </c>
      <c r="O43" s="26">
        <f>26640+7560</f>
        <v>34200</v>
      </c>
      <c r="P43" s="26">
        <f t="shared" si="4"/>
        <v>815280</v>
      </c>
      <c r="Q43" s="14">
        <f t="shared" si="5"/>
        <v>848040</v>
      </c>
      <c r="R43" s="14">
        <f t="shared" si="5"/>
        <v>882240</v>
      </c>
      <c r="S43" s="61"/>
    </row>
    <row r="44" spans="1:19" ht="21.75" customHeight="1">
      <c r="A44" s="10"/>
      <c r="B44" s="42" t="s">
        <v>64</v>
      </c>
      <c r="C44" s="52" t="s">
        <v>8</v>
      </c>
      <c r="D44" s="46">
        <v>9</v>
      </c>
      <c r="E44" s="44">
        <v>7</v>
      </c>
      <c r="F44" s="14">
        <v>896520</v>
      </c>
      <c r="G44" s="11">
        <v>9</v>
      </c>
      <c r="H44" s="17">
        <v>9</v>
      </c>
      <c r="I44" s="17">
        <v>9</v>
      </c>
      <c r="J44" s="185">
        <v>2</v>
      </c>
      <c r="K44" s="17" t="s">
        <v>8</v>
      </c>
      <c r="L44" s="17" t="s">
        <v>8</v>
      </c>
      <c r="M44" s="14">
        <f>36360+(4560*2)</f>
        <v>45480</v>
      </c>
      <c r="N44" s="14">
        <f>37680+(4800*2)</f>
        <v>47280</v>
      </c>
      <c r="O44" s="14">
        <f>39240+(4920*2)</f>
        <v>49080</v>
      </c>
      <c r="P44" s="26">
        <f t="shared" si="4"/>
        <v>942000</v>
      </c>
      <c r="Q44" s="14">
        <f t="shared" si="5"/>
        <v>989280</v>
      </c>
      <c r="R44" s="14">
        <f t="shared" si="5"/>
        <v>1038360</v>
      </c>
      <c r="S44" s="61"/>
    </row>
    <row r="45" spans="1:19" s="153" customFormat="1" ht="21.75" customHeight="1">
      <c r="A45" s="148"/>
      <c r="B45" s="157" t="s">
        <v>174</v>
      </c>
      <c r="C45" s="149"/>
      <c r="D45" s="158"/>
      <c r="E45" s="165"/>
      <c r="F45" s="150">
        <f>11110*12</f>
        <v>133320</v>
      </c>
      <c r="G45" s="155"/>
      <c r="H45" s="156"/>
      <c r="I45" s="156"/>
      <c r="J45" s="156"/>
      <c r="K45" s="156"/>
      <c r="L45" s="156"/>
      <c r="M45" s="150">
        <f>450*12</f>
        <v>5400</v>
      </c>
      <c r="N45" s="151">
        <f>470*12</f>
        <v>5640</v>
      </c>
      <c r="O45" s="150">
        <f>490*12</f>
        <v>5880</v>
      </c>
      <c r="P45" s="151">
        <f t="shared" si="4"/>
        <v>138720</v>
      </c>
      <c r="Q45" s="150">
        <f t="shared" si="5"/>
        <v>144360</v>
      </c>
      <c r="R45" s="150">
        <f t="shared" si="5"/>
        <v>150240</v>
      </c>
      <c r="S45" s="152"/>
    </row>
    <row r="46" spans="1:19" s="153" customFormat="1" ht="21.75" customHeight="1">
      <c r="A46" s="148"/>
      <c r="B46" s="157" t="s">
        <v>175</v>
      </c>
      <c r="C46" s="149"/>
      <c r="D46" s="158"/>
      <c r="E46" s="165"/>
      <c r="F46" s="150">
        <f>10780*12</f>
        <v>129360</v>
      </c>
      <c r="G46" s="159"/>
      <c r="H46" s="156"/>
      <c r="I46" s="156"/>
      <c r="J46" s="156"/>
      <c r="K46" s="156"/>
      <c r="L46" s="156"/>
      <c r="M46" s="150">
        <f>440*12</f>
        <v>5280</v>
      </c>
      <c r="N46" s="151">
        <f>450*12</f>
        <v>5400</v>
      </c>
      <c r="O46" s="160">
        <f>470*12</f>
        <v>5640</v>
      </c>
      <c r="P46" s="150">
        <f t="shared" si="4"/>
        <v>134640</v>
      </c>
      <c r="Q46" s="150">
        <f t="shared" si="5"/>
        <v>140040</v>
      </c>
      <c r="R46" s="161">
        <f t="shared" si="5"/>
        <v>145680</v>
      </c>
      <c r="S46" s="152"/>
    </row>
    <row r="47" spans="1:19" s="153" customFormat="1" ht="21.75" customHeight="1">
      <c r="A47" s="148"/>
      <c r="B47" s="168" t="s">
        <v>176</v>
      </c>
      <c r="C47" s="149"/>
      <c r="D47" s="158"/>
      <c r="E47" s="165"/>
      <c r="F47" s="150">
        <f>10890*12</f>
        <v>130680</v>
      </c>
      <c r="G47" s="155"/>
      <c r="H47" s="156"/>
      <c r="I47" s="156"/>
      <c r="J47" s="156"/>
      <c r="K47" s="156"/>
      <c r="L47" s="156"/>
      <c r="M47" s="150">
        <v>5280</v>
      </c>
      <c r="N47" s="151">
        <v>5520</v>
      </c>
      <c r="O47" s="150">
        <v>5760</v>
      </c>
      <c r="P47" s="151">
        <f t="shared" si="4"/>
        <v>135960</v>
      </c>
      <c r="Q47" s="150">
        <f t="shared" si="5"/>
        <v>141480</v>
      </c>
      <c r="R47" s="150">
        <f t="shared" si="5"/>
        <v>147240</v>
      </c>
      <c r="S47" s="152"/>
    </row>
    <row r="48" spans="1:19" s="153" customFormat="1" ht="21.75" customHeight="1">
      <c r="A48" s="148"/>
      <c r="B48" s="168" t="s">
        <v>177</v>
      </c>
      <c r="C48" s="149"/>
      <c r="D48" s="158"/>
      <c r="E48" s="165"/>
      <c r="F48" s="150">
        <f>9900*12</f>
        <v>118800</v>
      </c>
      <c r="G48" s="159"/>
      <c r="H48" s="156"/>
      <c r="I48" s="156"/>
      <c r="J48" s="156"/>
      <c r="K48" s="156"/>
      <c r="L48" s="156"/>
      <c r="M48" s="150">
        <v>4800</v>
      </c>
      <c r="N48" s="151">
        <v>5040</v>
      </c>
      <c r="O48" s="150">
        <v>5160</v>
      </c>
      <c r="P48" s="150">
        <f t="shared" si="4"/>
        <v>123600</v>
      </c>
      <c r="Q48" s="150">
        <f t="shared" si="5"/>
        <v>128640</v>
      </c>
      <c r="R48" s="150">
        <f t="shared" si="5"/>
        <v>133800</v>
      </c>
      <c r="S48" s="152"/>
    </row>
    <row r="49" spans="1:19" s="153" customFormat="1" ht="21.75" customHeight="1">
      <c r="A49" s="148"/>
      <c r="B49" s="197" t="s">
        <v>226</v>
      </c>
      <c r="C49" s="198"/>
      <c r="D49" s="199"/>
      <c r="E49" s="200"/>
      <c r="F49" s="194">
        <f>10780*12</f>
        <v>129360</v>
      </c>
      <c r="G49" s="195"/>
      <c r="H49" s="196"/>
      <c r="I49" s="196"/>
      <c r="J49" s="196"/>
      <c r="K49" s="196"/>
      <c r="L49" s="196"/>
      <c r="M49" s="194">
        <v>5280</v>
      </c>
      <c r="N49" s="201">
        <v>5400</v>
      </c>
      <c r="O49" s="194">
        <v>5640</v>
      </c>
      <c r="P49" s="194">
        <f t="shared" si="4"/>
        <v>134640</v>
      </c>
      <c r="Q49" s="194">
        <f t="shared" si="5"/>
        <v>140040</v>
      </c>
      <c r="R49" s="202">
        <f t="shared" si="5"/>
        <v>145680</v>
      </c>
      <c r="S49" s="152"/>
    </row>
    <row r="50" spans="1:19" s="153" customFormat="1" ht="21.75" customHeight="1">
      <c r="A50" s="148"/>
      <c r="B50" s="197" t="s">
        <v>227</v>
      </c>
      <c r="C50" s="198"/>
      <c r="D50" s="199"/>
      <c r="E50" s="200"/>
      <c r="F50" s="194">
        <f>10780*12</f>
        <v>129360</v>
      </c>
      <c r="G50" s="195"/>
      <c r="H50" s="196"/>
      <c r="I50" s="196"/>
      <c r="J50" s="196"/>
      <c r="K50" s="196"/>
      <c r="L50" s="196"/>
      <c r="M50" s="194">
        <v>5280</v>
      </c>
      <c r="N50" s="201">
        <v>5400</v>
      </c>
      <c r="O50" s="194">
        <v>5640</v>
      </c>
      <c r="P50" s="194">
        <f t="shared" si="4"/>
        <v>134640</v>
      </c>
      <c r="Q50" s="194">
        <f t="shared" si="5"/>
        <v>140040</v>
      </c>
      <c r="R50" s="202">
        <f t="shared" si="5"/>
        <v>145680</v>
      </c>
      <c r="S50" s="152"/>
    </row>
    <row r="51" spans="1:19" s="153" customFormat="1" ht="21.75" customHeight="1">
      <c r="A51" s="148"/>
      <c r="B51" s="197" t="s">
        <v>228</v>
      </c>
      <c r="C51" s="198"/>
      <c r="D51" s="199"/>
      <c r="E51" s="200"/>
      <c r="F51" s="194">
        <f>10470*12</f>
        <v>125640</v>
      </c>
      <c r="G51" s="195"/>
      <c r="H51" s="196"/>
      <c r="I51" s="196"/>
      <c r="J51" s="196"/>
      <c r="K51" s="196"/>
      <c r="L51" s="196"/>
      <c r="M51" s="194">
        <v>5040</v>
      </c>
      <c r="N51" s="201">
        <v>5280</v>
      </c>
      <c r="O51" s="194">
        <v>5520</v>
      </c>
      <c r="P51" s="194">
        <f t="shared" si="4"/>
        <v>130680</v>
      </c>
      <c r="Q51" s="194">
        <f t="shared" si="5"/>
        <v>135960</v>
      </c>
      <c r="R51" s="202">
        <f t="shared" si="5"/>
        <v>141480</v>
      </c>
      <c r="S51" s="152"/>
    </row>
    <row r="52" spans="1:19" ht="21.75" customHeight="1">
      <c r="A52" s="10"/>
      <c r="B52" s="144" t="s">
        <v>63</v>
      </c>
      <c r="C52" s="52"/>
      <c r="D52" s="46"/>
      <c r="E52" s="44"/>
      <c r="F52" s="14"/>
      <c r="G52" s="11"/>
      <c r="H52" s="17"/>
      <c r="I52" s="17"/>
      <c r="J52" s="17"/>
      <c r="K52" s="17"/>
      <c r="L52" s="17"/>
      <c r="M52" s="14"/>
      <c r="N52" s="15"/>
      <c r="O52" s="26"/>
      <c r="P52" s="26"/>
      <c r="Q52" s="14"/>
      <c r="R52" s="27"/>
      <c r="S52" s="61"/>
    </row>
    <row r="53" spans="1:19" ht="21.75" customHeight="1">
      <c r="A53" s="10"/>
      <c r="B53" s="42" t="s">
        <v>147</v>
      </c>
      <c r="C53" s="52" t="s">
        <v>8</v>
      </c>
      <c r="D53" s="46">
        <v>22</v>
      </c>
      <c r="E53" s="44">
        <v>18</v>
      </c>
      <c r="F53" s="14">
        <f>9000*12*E53</f>
        <v>1944000</v>
      </c>
      <c r="G53" s="11">
        <v>22</v>
      </c>
      <c r="H53" s="17">
        <v>22</v>
      </c>
      <c r="I53" s="17">
        <v>22</v>
      </c>
      <c r="J53" s="185">
        <v>4</v>
      </c>
      <c r="K53" s="17" t="s">
        <v>8</v>
      </c>
      <c r="L53" s="17" t="s">
        <v>8</v>
      </c>
      <c r="M53" s="14">
        <f>9000*12*4</f>
        <v>432000</v>
      </c>
      <c r="N53" s="15" t="s">
        <v>8</v>
      </c>
      <c r="O53" s="26" t="s">
        <v>8</v>
      </c>
      <c r="P53" s="26">
        <f>F53</f>
        <v>1944000</v>
      </c>
      <c r="Q53" s="14">
        <f>P53+M53</f>
        <v>2376000</v>
      </c>
      <c r="R53" s="27">
        <f>Q53</f>
        <v>2376000</v>
      </c>
      <c r="S53" s="61"/>
    </row>
    <row r="54" spans="1:19" ht="21.75" customHeight="1">
      <c r="A54" s="10"/>
      <c r="B54" s="144"/>
      <c r="C54" s="52"/>
      <c r="D54" s="46"/>
      <c r="E54" s="44"/>
      <c r="F54" s="14"/>
      <c r="G54" s="11"/>
      <c r="H54" s="17"/>
      <c r="I54" s="17"/>
      <c r="J54" s="17"/>
      <c r="K54" s="17"/>
      <c r="L54" s="17"/>
      <c r="M54" s="14"/>
      <c r="N54" s="15"/>
      <c r="O54" s="26"/>
      <c r="P54" s="26"/>
      <c r="Q54" s="14"/>
      <c r="R54" s="27"/>
      <c r="S54" s="61"/>
    </row>
    <row r="55" spans="1:19" ht="21.75" customHeight="1">
      <c r="A55" s="18"/>
      <c r="B55" s="147"/>
      <c r="C55" s="53"/>
      <c r="D55" s="40"/>
      <c r="E55" s="193"/>
      <c r="F55" s="22"/>
      <c r="G55" s="19"/>
      <c r="H55" s="6"/>
      <c r="I55" s="6"/>
      <c r="J55" s="6"/>
      <c r="K55" s="6"/>
      <c r="L55" s="6"/>
      <c r="M55" s="22"/>
      <c r="N55" s="23"/>
      <c r="O55" s="28"/>
      <c r="P55" s="28"/>
      <c r="Q55" s="22"/>
      <c r="R55" s="29"/>
      <c r="S55" s="61"/>
    </row>
    <row r="56" spans="1:19" s="25" customFormat="1" ht="21.75" customHeight="1">
      <c r="A56" s="24"/>
      <c r="B56" s="47" t="s">
        <v>9</v>
      </c>
      <c r="C56" s="54"/>
      <c r="D56" s="43"/>
      <c r="E56" s="43"/>
      <c r="F56" s="30">
        <f>F53+F44+F43+F40+F36+F34+F30+F29+F28+F27+F24+F21+F19+F17+F16+F13+F12+F10+F9+F8</f>
        <v>7572600</v>
      </c>
      <c r="G56" s="20"/>
      <c r="H56" s="20"/>
      <c r="I56" s="20"/>
      <c r="J56" s="70"/>
      <c r="K56" s="70"/>
      <c r="L56" s="20"/>
      <c r="M56" s="47">
        <f>SUM(M8:M55)-M44-M40-M36-M30</f>
        <v>2134680</v>
      </c>
      <c r="N56" s="47">
        <f t="shared" ref="N56:O56" si="6">SUM(N8:N55)-N44-N40-N36-N30</f>
        <v>1424040</v>
      </c>
      <c r="O56" s="47">
        <f t="shared" si="6"/>
        <v>329940</v>
      </c>
      <c r="P56" s="30">
        <f>M56+F56</f>
        <v>9707280</v>
      </c>
      <c r="Q56" s="47">
        <f>P56+N56</f>
        <v>11131320</v>
      </c>
      <c r="R56" s="47">
        <f>Q56+O56</f>
        <v>11461260</v>
      </c>
      <c r="S56" s="63"/>
    </row>
    <row r="57" spans="1:19" s="25" customFormat="1" ht="21.75" customHeight="1">
      <c r="A57" s="13"/>
      <c r="B57" s="71"/>
      <c r="C57" s="52"/>
      <c r="D57" s="71"/>
      <c r="E57" s="71"/>
      <c r="F57" s="13"/>
      <c r="G57" s="13"/>
      <c r="H57" s="13"/>
      <c r="I57" s="13"/>
      <c r="J57" s="72"/>
      <c r="K57" s="72"/>
      <c r="L57" s="13"/>
      <c r="M57" s="13"/>
      <c r="N57" s="13"/>
      <c r="O57" s="13"/>
      <c r="P57" s="13"/>
      <c r="Q57" s="13"/>
      <c r="R57" s="13"/>
      <c r="S57" s="73"/>
    </row>
    <row r="58" spans="1:19" s="25" customFormat="1" ht="21.75" customHeight="1">
      <c r="A58" s="13"/>
      <c r="B58" s="71"/>
      <c r="C58" s="52"/>
      <c r="D58" s="71"/>
      <c r="E58" s="71"/>
      <c r="F58" s="13"/>
      <c r="G58" s="13"/>
      <c r="H58" s="13"/>
      <c r="I58" s="13"/>
      <c r="J58" s="72"/>
      <c r="K58" s="72"/>
      <c r="L58" s="13"/>
      <c r="M58" s="13"/>
      <c r="N58" s="13"/>
      <c r="O58" s="13"/>
      <c r="P58" s="13"/>
      <c r="Q58" s="13"/>
      <c r="R58" s="13"/>
      <c r="S58" s="73"/>
    </row>
  </sheetData>
  <mergeCells count="9">
    <mergeCell ref="A1:R1"/>
    <mergeCell ref="A2:R2"/>
    <mergeCell ref="A3:R3"/>
    <mergeCell ref="E4:F5"/>
    <mergeCell ref="G4:I4"/>
    <mergeCell ref="J4:L4"/>
    <mergeCell ref="P4:R4"/>
    <mergeCell ref="G5:I5"/>
    <mergeCell ref="J5:L5"/>
  </mergeCells>
  <pageMargins left="0.4" right="0.17" top="0.32" bottom="0.18" header="0.3" footer="0.17"/>
  <pageSetup paperSize="9" orientation="landscape" horizontalDpi="4294967294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S74"/>
  <sheetViews>
    <sheetView view="pageBreakPreview" topLeftCell="A43" workbookViewId="0">
      <selection activeCell="E44" sqref="E44"/>
    </sheetView>
  </sheetViews>
  <sheetFormatPr defaultRowHeight="21.75" customHeight="1"/>
  <cols>
    <col min="1" max="1" width="3.7109375" style="38" customWidth="1"/>
    <col min="2" max="2" width="21.7109375" style="49" customWidth="1"/>
    <col min="3" max="3" width="6" style="58" customWidth="1"/>
    <col min="4" max="4" width="5.7109375" style="49" customWidth="1"/>
    <col min="5" max="5" width="7.85546875" style="49" customWidth="1"/>
    <col min="6" max="6" width="8.85546875" style="5" customWidth="1"/>
    <col min="7" max="12" width="6.28515625" style="5" customWidth="1"/>
    <col min="13" max="15" width="8.28515625" style="5" customWidth="1"/>
    <col min="16" max="18" width="8.7109375" style="5" customWidth="1"/>
    <col min="19" max="19" width="8" style="5" customWidth="1"/>
    <col min="20" max="20" width="4" style="5" customWidth="1"/>
    <col min="21" max="16384" width="9.140625" style="5"/>
  </cols>
  <sheetData>
    <row r="1" spans="1:19" s="1" customFormat="1" ht="21.75" customHeight="1">
      <c r="A1" s="267" t="s">
        <v>47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19" s="1" customFormat="1" ht="21.75" customHeight="1">
      <c r="A2" s="267" t="s">
        <v>29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19" s="1" customFormat="1" ht="21.75" customHeight="1">
      <c r="A3" s="268" t="s">
        <v>19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ht="21.75" customHeight="1">
      <c r="A4" s="2" t="s">
        <v>0</v>
      </c>
      <c r="B4" s="39" t="s">
        <v>1</v>
      </c>
      <c r="C4" s="65" t="s">
        <v>2</v>
      </c>
      <c r="D4" s="106" t="s">
        <v>4</v>
      </c>
      <c r="E4" s="269" t="s">
        <v>38</v>
      </c>
      <c r="F4" s="270"/>
      <c r="G4" s="273" t="s">
        <v>39</v>
      </c>
      <c r="H4" s="274"/>
      <c r="I4" s="275"/>
      <c r="J4" s="273" t="s">
        <v>44</v>
      </c>
      <c r="K4" s="274"/>
      <c r="L4" s="275"/>
      <c r="M4" s="3"/>
      <c r="N4" s="225" t="s">
        <v>7</v>
      </c>
      <c r="O4" s="4"/>
      <c r="P4" s="273" t="s">
        <v>6</v>
      </c>
      <c r="Q4" s="274"/>
      <c r="R4" s="275"/>
      <c r="S4" s="2" t="s">
        <v>42</v>
      </c>
    </row>
    <row r="5" spans="1:19" ht="21.75" customHeight="1">
      <c r="A5" s="17"/>
      <c r="B5" s="46"/>
      <c r="C5" s="66" t="s">
        <v>3</v>
      </c>
      <c r="D5" s="110" t="s">
        <v>5</v>
      </c>
      <c r="E5" s="271"/>
      <c r="F5" s="272"/>
      <c r="G5" s="276" t="s">
        <v>40</v>
      </c>
      <c r="H5" s="277"/>
      <c r="I5" s="278"/>
      <c r="J5" s="276" t="s">
        <v>45</v>
      </c>
      <c r="K5" s="277"/>
      <c r="L5" s="278"/>
      <c r="M5" s="59"/>
      <c r="N5" s="19"/>
      <c r="O5" s="60"/>
      <c r="P5" s="59"/>
      <c r="Q5" s="19"/>
      <c r="R5" s="60"/>
      <c r="S5" s="61"/>
    </row>
    <row r="6" spans="1:19" ht="21.75" customHeight="1">
      <c r="A6" s="6"/>
      <c r="B6" s="40"/>
      <c r="C6" s="50"/>
      <c r="D6" s="40"/>
      <c r="E6" s="114" t="s">
        <v>43</v>
      </c>
      <c r="F6" s="67" t="s">
        <v>41</v>
      </c>
      <c r="G6" s="7">
        <v>2558</v>
      </c>
      <c r="H6" s="7">
        <v>2559</v>
      </c>
      <c r="I6" s="7">
        <v>2560</v>
      </c>
      <c r="J6" s="7">
        <v>2558</v>
      </c>
      <c r="K6" s="7">
        <v>2559</v>
      </c>
      <c r="L6" s="7">
        <v>2560</v>
      </c>
      <c r="M6" s="7">
        <v>2558</v>
      </c>
      <c r="N6" s="7">
        <v>2559</v>
      </c>
      <c r="O6" s="7">
        <v>2560</v>
      </c>
      <c r="P6" s="7">
        <v>2558</v>
      </c>
      <c r="Q6" s="7">
        <v>2559</v>
      </c>
      <c r="R6" s="7">
        <v>2560</v>
      </c>
      <c r="S6" s="62"/>
    </row>
    <row r="7" spans="1:19" ht="21.75" customHeight="1">
      <c r="A7" s="224"/>
      <c r="B7" s="143" t="s">
        <v>61</v>
      </c>
      <c r="C7" s="51"/>
      <c r="D7" s="39"/>
      <c r="E7" s="141"/>
      <c r="F7" s="142"/>
      <c r="G7" s="225"/>
      <c r="H7" s="2"/>
      <c r="I7" s="2"/>
      <c r="J7" s="2"/>
      <c r="K7" s="2"/>
      <c r="L7" s="2"/>
      <c r="M7" s="2"/>
      <c r="N7" s="225"/>
      <c r="O7" s="224"/>
      <c r="P7" s="224"/>
      <c r="Q7" s="2"/>
      <c r="R7" s="226"/>
      <c r="S7" s="61"/>
    </row>
    <row r="8" spans="1:19" ht="21.75" customHeight="1">
      <c r="A8" s="10">
        <v>1</v>
      </c>
      <c r="B8" s="42" t="s">
        <v>99</v>
      </c>
      <c r="C8" s="52">
        <v>8</v>
      </c>
      <c r="D8" s="46">
        <v>1</v>
      </c>
      <c r="E8" s="44">
        <v>1</v>
      </c>
      <c r="F8" s="14">
        <f>40560*12</f>
        <v>486720</v>
      </c>
      <c r="G8" s="13">
        <v>1</v>
      </c>
      <c r="H8" s="12">
        <v>1</v>
      </c>
      <c r="I8" s="12">
        <v>1</v>
      </c>
      <c r="J8" s="12" t="s">
        <v>8</v>
      </c>
      <c r="K8" s="12" t="s">
        <v>8</v>
      </c>
      <c r="L8" s="12" t="s">
        <v>8</v>
      </c>
      <c r="M8" s="14">
        <f>(41930-40560)*12</f>
        <v>16440</v>
      </c>
      <c r="N8" s="14">
        <f>(43300-41930)*12</f>
        <v>16440</v>
      </c>
      <c r="O8" s="14">
        <f>(44930-43300)*12</f>
        <v>19560</v>
      </c>
      <c r="P8" s="26">
        <f>F8+M8</f>
        <v>503160</v>
      </c>
      <c r="Q8" s="14">
        <f t="shared" ref="Q8:R10" si="0">P8+N8</f>
        <v>519600</v>
      </c>
      <c r="R8" s="27">
        <f t="shared" si="0"/>
        <v>539160</v>
      </c>
      <c r="S8" s="61"/>
    </row>
    <row r="9" spans="1:19" ht="21.75" customHeight="1">
      <c r="A9" s="10">
        <v>2</v>
      </c>
      <c r="B9" s="42" t="s">
        <v>100</v>
      </c>
      <c r="C9" s="52">
        <v>7</v>
      </c>
      <c r="D9" s="46">
        <v>1</v>
      </c>
      <c r="E9" s="44">
        <v>1</v>
      </c>
      <c r="F9" s="14">
        <f>24970*12</f>
        <v>299640</v>
      </c>
      <c r="G9" s="13">
        <v>1</v>
      </c>
      <c r="H9" s="12">
        <v>1</v>
      </c>
      <c r="I9" s="12">
        <v>1</v>
      </c>
      <c r="J9" s="12" t="s">
        <v>8</v>
      </c>
      <c r="K9" s="12" t="s">
        <v>8</v>
      </c>
      <c r="L9" s="12" t="s">
        <v>8</v>
      </c>
      <c r="M9" s="14">
        <f>(25970-24970)*12</f>
        <v>12000</v>
      </c>
      <c r="N9" s="14">
        <f>(26980-25970)*12</f>
        <v>12120</v>
      </c>
      <c r="O9" s="14">
        <f>(28030-26980)*12</f>
        <v>12600</v>
      </c>
      <c r="P9" s="26">
        <f>F9+M9</f>
        <v>311640</v>
      </c>
      <c r="Q9" s="14">
        <f t="shared" si="0"/>
        <v>323760</v>
      </c>
      <c r="R9" s="27">
        <f t="shared" si="0"/>
        <v>336360</v>
      </c>
      <c r="S9" s="61"/>
    </row>
    <row r="10" spans="1:19" ht="21.75" customHeight="1">
      <c r="A10" s="10">
        <v>3</v>
      </c>
      <c r="B10" s="42" t="s">
        <v>101</v>
      </c>
      <c r="C10" s="52">
        <v>6</v>
      </c>
      <c r="D10" s="46">
        <v>2</v>
      </c>
      <c r="E10" s="44" t="s">
        <v>8</v>
      </c>
      <c r="F10" s="17" t="s">
        <v>8</v>
      </c>
      <c r="G10" s="13">
        <v>2</v>
      </c>
      <c r="H10" s="12">
        <v>2</v>
      </c>
      <c r="I10" s="12">
        <v>2</v>
      </c>
      <c r="J10" s="185">
        <v>2</v>
      </c>
      <c r="K10" s="12" t="s">
        <v>8</v>
      </c>
      <c r="L10" s="12" t="s">
        <v>8</v>
      </c>
      <c r="M10" s="14">
        <f>23235*12*2</f>
        <v>557640</v>
      </c>
      <c r="N10" s="15">
        <f>10740*2</f>
        <v>21480</v>
      </c>
      <c r="O10" s="26">
        <f>N10</f>
        <v>21480</v>
      </c>
      <c r="P10" s="26">
        <f>M10</f>
        <v>557640</v>
      </c>
      <c r="Q10" s="14">
        <f t="shared" si="0"/>
        <v>579120</v>
      </c>
      <c r="R10" s="27">
        <f t="shared" si="0"/>
        <v>600600</v>
      </c>
      <c r="S10" s="61"/>
    </row>
    <row r="11" spans="1:19" ht="21.75" customHeight="1">
      <c r="A11" s="10">
        <v>4</v>
      </c>
      <c r="B11" s="42" t="s">
        <v>102</v>
      </c>
      <c r="C11" s="52" t="s">
        <v>67</v>
      </c>
      <c r="D11" s="46">
        <v>2</v>
      </c>
      <c r="E11" s="44">
        <v>2</v>
      </c>
      <c r="F11" s="14">
        <v>556200</v>
      </c>
      <c r="G11" s="13">
        <v>2</v>
      </c>
      <c r="H11" s="12">
        <v>2</v>
      </c>
      <c r="I11" s="12">
        <v>2</v>
      </c>
      <c r="J11" s="12" t="s">
        <v>8</v>
      </c>
      <c r="K11" s="12" t="s">
        <v>8</v>
      </c>
      <c r="L11" s="12" t="s">
        <v>8</v>
      </c>
      <c r="M11" s="14">
        <v>21600</v>
      </c>
      <c r="N11" s="15">
        <v>21600</v>
      </c>
      <c r="O11" s="26">
        <v>21720</v>
      </c>
      <c r="P11" s="26">
        <v>577800</v>
      </c>
      <c r="Q11" s="14">
        <v>599400</v>
      </c>
      <c r="R11" s="27">
        <v>621120</v>
      </c>
      <c r="S11" s="61"/>
    </row>
    <row r="12" spans="1:19" s="153" customFormat="1" ht="21.75" customHeight="1">
      <c r="A12" s="148"/>
      <c r="B12" s="157" t="s">
        <v>170</v>
      </c>
      <c r="C12" s="149"/>
      <c r="D12" s="158"/>
      <c r="E12" s="165"/>
      <c r="F12" s="150">
        <f>21620*12</f>
        <v>259440</v>
      </c>
      <c r="G12" s="159"/>
      <c r="H12" s="156"/>
      <c r="I12" s="156"/>
      <c r="J12" s="167"/>
      <c r="K12" s="167"/>
      <c r="L12" s="156"/>
      <c r="M12" s="150">
        <f>(22490-21620)*12</f>
        <v>10440</v>
      </c>
      <c r="N12" s="150">
        <f>(23370-22490)*12</f>
        <v>10560</v>
      </c>
      <c r="O12" s="150">
        <f>(24270-23370)*12</f>
        <v>10800</v>
      </c>
      <c r="P12" s="160">
        <f t="shared" ref="P12:P21" si="1">F12+M12</f>
        <v>269880</v>
      </c>
      <c r="Q12" s="150">
        <f t="shared" ref="Q12:R21" si="2">P12+N12</f>
        <v>280440</v>
      </c>
      <c r="R12" s="161">
        <f t="shared" si="2"/>
        <v>291240</v>
      </c>
      <c r="S12" s="152"/>
    </row>
    <row r="13" spans="1:19" s="153" customFormat="1" ht="21.75" customHeight="1">
      <c r="A13" s="148"/>
      <c r="B13" s="157" t="s">
        <v>171</v>
      </c>
      <c r="C13" s="149"/>
      <c r="D13" s="158"/>
      <c r="E13" s="165"/>
      <c r="F13" s="150">
        <f>24730*12</f>
        <v>296760</v>
      </c>
      <c r="G13" s="159"/>
      <c r="H13" s="156"/>
      <c r="I13" s="156"/>
      <c r="J13" s="167"/>
      <c r="K13" s="167"/>
      <c r="L13" s="156"/>
      <c r="M13" s="150">
        <f>(25660-24730)*12</f>
        <v>11160</v>
      </c>
      <c r="N13" s="150">
        <f>(26580-25660)*12</f>
        <v>11040</v>
      </c>
      <c r="O13" s="150">
        <f>(27490-26580)*12</f>
        <v>10920</v>
      </c>
      <c r="P13" s="160">
        <f t="shared" si="1"/>
        <v>307920</v>
      </c>
      <c r="Q13" s="150">
        <f t="shared" si="2"/>
        <v>318960</v>
      </c>
      <c r="R13" s="161">
        <f t="shared" si="2"/>
        <v>329880</v>
      </c>
      <c r="S13" s="152"/>
    </row>
    <row r="14" spans="1:19" ht="21.75" customHeight="1">
      <c r="A14" s="10"/>
      <c r="B14" s="42" t="s">
        <v>102</v>
      </c>
      <c r="C14" s="146" t="s">
        <v>220</v>
      </c>
      <c r="D14" s="46">
        <v>2</v>
      </c>
      <c r="E14" s="44" t="s">
        <v>8</v>
      </c>
      <c r="F14" s="14" t="s">
        <v>8</v>
      </c>
      <c r="G14" s="13">
        <v>2</v>
      </c>
      <c r="H14" s="12">
        <v>2</v>
      </c>
      <c r="I14" s="12">
        <v>2</v>
      </c>
      <c r="J14" s="185">
        <v>2</v>
      </c>
      <c r="K14" s="12" t="s">
        <v>8</v>
      </c>
      <c r="L14" s="12" t="s">
        <v>8</v>
      </c>
      <c r="M14" s="14">
        <f>242700*2</f>
        <v>485400</v>
      </c>
      <c r="N14" s="14">
        <f>8580*2</f>
        <v>17160</v>
      </c>
      <c r="O14" s="14">
        <f>8580*2</f>
        <v>17160</v>
      </c>
      <c r="P14" s="26">
        <f>M14</f>
        <v>485400</v>
      </c>
      <c r="Q14" s="14">
        <f>P14+N14</f>
        <v>502560</v>
      </c>
      <c r="R14" s="27">
        <f t="shared" si="2"/>
        <v>519720</v>
      </c>
      <c r="S14" s="61"/>
    </row>
    <row r="15" spans="1:19" ht="21.75" customHeight="1">
      <c r="A15" s="10"/>
      <c r="B15" s="42" t="s">
        <v>238</v>
      </c>
      <c r="C15" s="146" t="s">
        <v>217</v>
      </c>
      <c r="D15" s="46">
        <v>1</v>
      </c>
      <c r="E15" s="44" t="s">
        <v>8</v>
      </c>
      <c r="F15" s="14" t="s">
        <v>8</v>
      </c>
      <c r="G15" s="13" t="s">
        <v>8</v>
      </c>
      <c r="H15" s="12">
        <v>1</v>
      </c>
      <c r="I15" s="12">
        <v>1</v>
      </c>
      <c r="J15" s="185" t="s">
        <v>8</v>
      </c>
      <c r="K15" s="185">
        <v>1</v>
      </c>
      <c r="L15" s="12" t="s">
        <v>8</v>
      </c>
      <c r="M15" s="14" t="s">
        <v>8</v>
      </c>
      <c r="N15" s="14">
        <v>233820</v>
      </c>
      <c r="O15" s="14">
        <v>7080</v>
      </c>
      <c r="P15" s="26" t="s">
        <v>8</v>
      </c>
      <c r="Q15" s="14">
        <f>N15</f>
        <v>233820</v>
      </c>
      <c r="R15" s="27">
        <f>Q15+O15</f>
        <v>240900</v>
      </c>
      <c r="S15" s="61"/>
    </row>
    <row r="16" spans="1:19" ht="21.75" customHeight="1">
      <c r="A16" s="10">
        <v>5</v>
      </c>
      <c r="B16" s="42" t="s">
        <v>103</v>
      </c>
      <c r="C16" s="52">
        <v>4</v>
      </c>
      <c r="D16" s="46">
        <v>1</v>
      </c>
      <c r="E16" s="44">
        <v>1</v>
      </c>
      <c r="F16" s="14">
        <f>19720*12</f>
        <v>236640</v>
      </c>
      <c r="G16" s="13">
        <v>1</v>
      </c>
      <c r="H16" s="12">
        <v>1</v>
      </c>
      <c r="I16" s="12">
        <v>1</v>
      </c>
      <c r="J16" s="12" t="s">
        <v>8</v>
      </c>
      <c r="K16" s="12" t="s">
        <v>8</v>
      </c>
      <c r="L16" s="12" t="s">
        <v>8</v>
      </c>
      <c r="M16" s="14">
        <f>(20360-19720)*12</f>
        <v>7680</v>
      </c>
      <c r="N16" s="14">
        <f>(21020-20360)*12</f>
        <v>7920</v>
      </c>
      <c r="O16" s="14">
        <f>(21700-21020)*12</f>
        <v>8160</v>
      </c>
      <c r="P16" s="26">
        <f t="shared" si="1"/>
        <v>244320</v>
      </c>
      <c r="Q16" s="14">
        <f t="shared" si="2"/>
        <v>252240</v>
      </c>
      <c r="R16" s="27">
        <f t="shared" si="2"/>
        <v>260400</v>
      </c>
      <c r="S16" s="61"/>
    </row>
    <row r="17" spans="1:19" ht="21.75" customHeight="1">
      <c r="A17" s="10"/>
      <c r="B17" s="42" t="s">
        <v>103</v>
      </c>
      <c r="C17" s="146" t="s">
        <v>220</v>
      </c>
      <c r="D17" s="46">
        <v>1</v>
      </c>
      <c r="E17" s="44" t="s">
        <v>8</v>
      </c>
      <c r="F17" s="14" t="s">
        <v>8</v>
      </c>
      <c r="G17" s="13">
        <v>1</v>
      </c>
      <c r="H17" s="12">
        <v>1</v>
      </c>
      <c r="I17" s="12">
        <v>1</v>
      </c>
      <c r="J17" s="185">
        <v>1</v>
      </c>
      <c r="K17" s="12" t="s">
        <v>8</v>
      </c>
      <c r="L17" s="12" t="s">
        <v>8</v>
      </c>
      <c r="M17" s="14">
        <v>242700</v>
      </c>
      <c r="N17" s="14">
        <v>8580</v>
      </c>
      <c r="O17" s="14">
        <v>8580</v>
      </c>
      <c r="P17" s="26">
        <f>M17</f>
        <v>242700</v>
      </c>
      <c r="Q17" s="14">
        <f>P17+N17</f>
        <v>251280</v>
      </c>
      <c r="R17" s="27">
        <f>Q17+O17</f>
        <v>259860</v>
      </c>
      <c r="S17" s="61"/>
    </row>
    <row r="18" spans="1:19" ht="21.75" customHeight="1">
      <c r="A18" s="10">
        <v>6</v>
      </c>
      <c r="B18" s="42" t="s">
        <v>104</v>
      </c>
      <c r="C18" s="52">
        <v>4</v>
      </c>
      <c r="D18" s="46">
        <v>1</v>
      </c>
      <c r="E18" s="44">
        <v>1</v>
      </c>
      <c r="F18" s="14">
        <f>19720*12</f>
        <v>236640</v>
      </c>
      <c r="G18" s="13">
        <v>1</v>
      </c>
      <c r="H18" s="12">
        <v>1</v>
      </c>
      <c r="I18" s="12">
        <v>1</v>
      </c>
      <c r="J18" s="12" t="s">
        <v>8</v>
      </c>
      <c r="K18" s="12" t="s">
        <v>8</v>
      </c>
      <c r="L18" s="12" t="s">
        <v>8</v>
      </c>
      <c r="M18" s="14">
        <f>(20360-19720)*12</f>
        <v>7680</v>
      </c>
      <c r="N18" s="14">
        <f>(21020-20360)*12</f>
        <v>7920</v>
      </c>
      <c r="O18" s="14">
        <f>(21700-21020)*12</f>
        <v>8160</v>
      </c>
      <c r="P18" s="26">
        <f t="shared" si="1"/>
        <v>244320</v>
      </c>
      <c r="Q18" s="14">
        <f t="shared" si="2"/>
        <v>252240</v>
      </c>
      <c r="R18" s="27">
        <f t="shared" si="2"/>
        <v>260400</v>
      </c>
      <c r="S18" s="61"/>
    </row>
    <row r="19" spans="1:19" ht="21.75" customHeight="1">
      <c r="A19" s="10"/>
      <c r="B19" s="42" t="s">
        <v>104</v>
      </c>
      <c r="C19" s="146" t="s">
        <v>220</v>
      </c>
      <c r="D19" s="46">
        <v>1</v>
      </c>
      <c r="E19" s="44" t="s">
        <v>8</v>
      </c>
      <c r="F19" s="14" t="s">
        <v>8</v>
      </c>
      <c r="G19" s="13">
        <v>1</v>
      </c>
      <c r="H19" s="12">
        <v>1</v>
      </c>
      <c r="I19" s="12">
        <v>1</v>
      </c>
      <c r="J19" s="185">
        <v>1</v>
      </c>
      <c r="K19" s="12" t="s">
        <v>8</v>
      </c>
      <c r="L19" s="12" t="s">
        <v>8</v>
      </c>
      <c r="M19" s="14">
        <v>242700</v>
      </c>
      <c r="N19" s="14">
        <v>8580</v>
      </c>
      <c r="O19" s="14">
        <v>8580</v>
      </c>
      <c r="P19" s="26">
        <f>M19</f>
        <v>242700</v>
      </c>
      <c r="Q19" s="14">
        <f>P19+N19</f>
        <v>251280</v>
      </c>
      <c r="R19" s="27">
        <f>Q19+O19</f>
        <v>259860</v>
      </c>
      <c r="S19" s="61"/>
    </row>
    <row r="20" spans="1:19" ht="21.75" customHeight="1">
      <c r="A20" s="10"/>
      <c r="B20" s="42" t="s">
        <v>239</v>
      </c>
      <c r="C20" s="146" t="s">
        <v>217</v>
      </c>
      <c r="D20" s="46">
        <v>1</v>
      </c>
      <c r="E20" s="44" t="s">
        <v>8</v>
      </c>
      <c r="F20" s="14" t="s">
        <v>8</v>
      </c>
      <c r="G20" s="13">
        <v>1</v>
      </c>
      <c r="H20" s="12">
        <v>1</v>
      </c>
      <c r="I20" s="12">
        <v>1</v>
      </c>
      <c r="J20" s="185">
        <v>1</v>
      </c>
      <c r="K20" s="12" t="s">
        <v>8</v>
      </c>
      <c r="L20" s="12" t="s">
        <v>8</v>
      </c>
      <c r="M20" s="14">
        <v>233820</v>
      </c>
      <c r="N20" s="14">
        <v>7080</v>
      </c>
      <c r="O20" s="14">
        <v>7080</v>
      </c>
      <c r="P20" s="26">
        <f>M20</f>
        <v>233820</v>
      </c>
      <c r="Q20" s="14">
        <f>P20+N20</f>
        <v>240900</v>
      </c>
      <c r="R20" s="27">
        <f>Q20+O20</f>
        <v>247980</v>
      </c>
      <c r="S20" s="61"/>
    </row>
    <row r="21" spans="1:19" ht="21.75" customHeight="1">
      <c r="A21" s="10">
        <v>7</v>
      </c>
      <c r="B21" s="42" t="s">
        <v>236</v>
      </c>
      <c r="C21" s="52">
        <v>4</v>
      </c>
      <c r="D21" s="46">
        <v>1</v>
      </c>
      <c r="E21" s="44">
        <v>1</v>
      </c>
      <c r="F21" s="14">
        <f>13760*12</f>
        <v>165120</v>
      </c>
      <c r="G21" s="13">
        <v>1</v>
      </c>
      <c r="H21" s="12">
        <v>1</v>
      </c>
      <c r="I21" s="12">
        <v>1</v>
      </c>
      <c r="J21" s="12" t="s">
        <v>8</v>
      </c>
      <c r="K21" s="12" t="s">
        <v>8</v>
      </c>
      <c r="L21" s="12" t="s">
        <v>8</v>
      </c>
      <c r="M21" s="14">
        <f>(14310-13760)*12</f>
        <v>6600</v>
      </c>
      <c r="N21" s="14">
        <f>(14850-14310)*12</f>
        <v>6480</v>
      </c>
      <c r="O21" s="14">
        <f>(15440-14850)*12</f>
        <v>7080</v>
      </c>
      <c r="P21" s="26">
        <f t="shared" si="1"/>
        <v>171720</v>
      </c>
      <c r="Q21" s="14">
        <f t="shared" si="2"/>
        <v>178200</v>
      </c>
      <c r="R21" s="27">
        <f t="shared" si="2"/>
        <v>185280</v>
      </c>
      <c r="S21" s="61"/>
    </row>
    <row r="22" spans="1:19" ht="21.75" customHeight="1">
      <c r="A22" s="10"/>
      <c r="B22" s="42" t="s">
        <v>236</v>
      </c>
      <c r="C22" s="52" t="s">
        <v>217</v>
      </c>
      <c r="D22" s="46">
        <v>1</v>
      </c>
      <c r="E22" s="44" t="s">
        <v>8</v>
      </c>
      <c r="F22" s="14" t="s">
        <v>8</v>
      </c>
      <c r="G22" s="13" t="s">
        <v>8</v>
      </c>
      <c r="H22" s="12">
        <v>1</v>
      </c>
      <c r="I22" s="12">
        <v>1</v>
      </c>
      <c r="J22" s="12" t="s">
        <v>8</v>
      </c>
      <c r="K22" s="185">
        <v>1</v>
      </c>
      <c r="L22" s="12" t="s">
        <v>8</v>
      </c>
      <c r="M22" s="14" t="s">
        <v>8</v>
      </c>
      <c r="N22" s="14">
        <v>233820</v>
      </c>
      <c r="O22" s="14">
        <v>7080</v>
      </c>
      <c r="P22" s="26" t="s">
        <v>8</v>
      </c>
      <c r="Q22" s="14">
        <f>N22</f>
        <v>233820</v>
      </c>
      <c r="R22" s="27">
        <f>Q22+O22</f>
        <v>240900</v>
      </c>
      <c r="S22" s="61"/>
    </row>
    <row r="23" spans="1:19" ht="21.75" customHeight="1">
      <c r="A23" s="10"/>
      <c r="B23" s="42" t="s">
        <v>235</v>
      </c>
      <c r="C23" s="52" t="s">
        <v>217</v>
      </c>
      <c r="D23" s="46">
        <v>4</v>
      </c>
      <c r="E23" s="44" t="s">
        <v>8</v>
      </c>
      <c r="F23" s="14" t="s">
        <v>8</v>
      </c>
      <c r="G23" s="13">
        <v>1</v>
      </c>
      <c r="H23" s="12">
        <v>3</v>
      </c>
      <c r="I23" s="12">
        <v>4</v>
      </c>
      <c r="J23" s="185">
        <v>1</v>
      </c>
      <c r="K23" s="185">
        <v>2</v>
      </c>
      <c r="L23" s="185">
        <v>1</v>
      </c>
      <c r="M23" s="14">
        <v>233820</v>
      </c>
      <c r="N23" s="14">
        <f>7080+(233820*2)</f>
        <v>474720</v>
      </c>
      <c r="O23" s="14">
        <f>(7080*3)+233820</f>
        <v>255060</v>
      </c>
      <c r="P23" s="26">
        <f>M23</f>
        <v>233820</v>
      </c>
      <c r="Q23" s="14">
        <f>P23+N23</f>
        <v>708540</v>
      </c>
      <c r="R23" s="27">
        <f>Q23+O23</f>
        <v>963600</v>
      </c>
      <c r="S23" s="61"/>
    </row>
    <row r="24" spans="1:19" ht="21.75" customHeight="1">
      <c r="A24" s="10"/>
      <c r="B24" s="42" t="s">
        <v>237</v>
      </c>
      <c r="C24" s="52" t="s">
        <v>222</v>
      </c>
      <c r="D24" s="46">
        <v>3</v>
      </c>
      <c r="E24" s="44" t="s">
        <v>8</v>
      </c>
      <c r="F24" s="14" t="s">
        <v>8</v>
      </c>
      <c r="G24" s="13">
        <v>1</v>
      </c>
      <c r="H24" s="12">
        <v>2</v>
      </c>
      <c r="I24" s="12">
        <v>3</v>
      </c>
      <c r="J24" s="185">
        <v>1</v>
      </c>
      <c r="K24" s="185">
        <v>1</v>
      </c>
      <c r="L24" s="185">
        <v>1</v>
      </c>
      <c r="M24" s="14">
        <v>165780</v>
      </c>
      <c r="N24" s="15">
        <f>5640+165780</f>
        <v>171420</v>
      </c>
      <c r="O24" s="26">
        <f>5640*2+165780</f>
        <v>177060</v>
      </c>
      <c r="P24" s="26">
        <f>M24</f>
        <v>165780</v>
      </c>
      <c r="Q24" s="14">
        <f>P24+N24</f>
        <v>337200</v>
      </c>
      <c r="R24" s="27">
        <f>Q24+O24</f>
        <v>514260</v>
      </c>
      <c r="S24" s="61"/>
    </row>
    <row r="25" spans="1:19" ht="21.75" customHeight="1">
      <c r="A25" s="10">
        <v>8</v>
      </c>
      <c r="B25" s="42" t="s">
        <v>88</v>
      </c>
      <c r="C25" s="52">
        <v>3</v>
      </c>
      <c r="D25" s="46">
        <v>1</v>
      </c>
      <c r="E25" s="44">
        <v>1</v>
      </c>
      <c r="F25" s="14">
        <f>13570*12</f>
        <v>162840</v>
      </c>
      <c r="G25" s="13">
        <v>1</v>
      </c>
      <c r="H25" s="12">
        <v>1</v>
      </c>
      <c r="I25" s="12">
        <v>1</v>
      </c>
      <c r="J25" s="12" t="s">
        <v>8</v>
      </c>
      <c r="K25" s="12" t="s">
        <v>8</v>
      </c>
      <c r="L25" s="12" t="s">
        <v>8</v>
      </c>
      <c r="M25" s="14">
        <f>(14060-13570)*12</f>
        <v>5880</v>
      </c>
      <c r="N25" s="14">
        <f>(14560-14060)*12</f>
        <v>6000</v>
      </c>
      <c r="O25" s="14">
        <f>(15060-14560)*12</f>
        <v>6000</v>
      </c>
      <c r="P25" s="26">
        <f>F25+M25</f>
        <v>168720</v>
      </c>
      <c r="Q25" s="14">
        <f>P25+N25</f>
        <v>174720</v>
      </c>
      <c r="R25" s="27">
        <f>Q25+O25</f>
        <v>180720</v>
      </c>
      <c r="S25" s="61"/>
    </row>
    <row r="26" spans="1:19" ht="21.75" customHeight="1">
      <c r="A26" s="10"/>
      <c r="B26" s="42" t="s">
        <v>225</v>
      </c>
      <c r="C26" s="52" t="s">
        <v>222</v>
      </c>
      <c r="D26" s="46">
        <v>1</v>
      </c>
      <c r="E26" s="44" t="s">
        <v>8</v>
      </c>
      <c r="F26" s="14" t="s">
        <v>8</v>
      </c>
      <c r="G26" s="13" t="s">
        <v>8</v>
      </c>
      <c r="H26" s="12">
        <v>1</v>
      </c>
      <c r="I26" s="12">
        <v>1</v>
      </c>
      <c r="J26" s="12" t="s">
        <v>8</v>
      </c>
      <c r="K26" s="185">
        <v>1</v>
      </c>
      <c r="L26" s="12" t="s">
        <v>8</v>
      </c>
      <c r="M26" s="14" t="s">
        <v>8</v>
      </c>
      <c r="N26" s="15">
        <v>165780</v>
      </c>
      <c r="O26" s="26">
        <v>5640</v>
      </c>
      <c r="P26" s="26" t="s">
        <v>8</v>
      </c>
      <c r="Q26" s="14">
        <f>N26</f>
        <v>165780</v>
      </c>
      <c r="R26" s="27">
        <f>Q26+O26</f>
        <v>171420</v>
      </c>
      <c r="S26" s="61"/>
    </row>
    <row r="27" spans="1:19" ht="21.75" customHeight="1">
      <c r="A27" s="10"/>
      <c r="B27" s="42"/>
      <c r="C27" s="52"/>
      <c r="D27" s="46"/>
      <c r="E27" s="44"/>
      <c r="F27" s="14"/>
      <c r="G27" s="13"/>
      <c r="H27" s="12"/>
      <c r="I27" s="12"/>
      <c r="J27" s="68"/>
      <c r="K27" s="68"/>
      <c r="L27" s="12"/>
      <c r="M27" s="14"/>
      <c r="N27" s="15"/>
      <c r="O27" s="26"/>
      <c r="P27" s="26"/>
      <c r="Q27" s="14"/>
      <c r="R27" s="27"/>
      <c r="S27" s="61"/>
    </row>
    <row r="28" spans="1:19" ht="21.75" customHeight="1">
      <c r="A28" s="10"/>
      <c r="B28" s="144" t="s">
        <v>18</v>
      </c>
      <c r="C28" s="52"/>
      <c r="D28" s="46"/>
      <c r="E28" s="44"/>
      <c r="F28" s="14"/>
      <c r="G28" s="13"/>
      <c r="H28" s="12"/>
      <c r="I28" s="12"/>
      <c r="J28" s="12"/>
      <c r="K28" s="12"/>
      <c r="L28" s="12"/>
      <c r="M28" s="14"/>
      <c r="N28" s="15"/>
      <c r="O28" s="26"/>
      <c r="P28" s="26"/>
      <c r="Q28" s="14"/>
      <c r="R28" s="27"/>
      <c r="S28" s="61"/>
    </row>
    <row r="29" spans="1:19" ht="21.75" customHeight="1">
      <c r="A29" s="10"/>
      <c r="B29" s="42" t="s">
        <v>118</v>
      </c>
      <c r="C29" s="52" t="s">
        <v>8</v>
      </c>
      <c r="D29" s="46">
        <v>2</v>
      </c>
      <c r="E29" s="44">
        <v>2</v>
      </c>
      <c r="F29" s="14">
        <v>392760</v>
      </c>
      <c r="G29" s="13">
        <v>2</v>
      </c>
      <c r="H29" s="12">
        <v>2</v>
      </c>
      <c r="I29" s="12">
        <v>2</v>
      </c>
      <c r="J29" s="12" t="s">
        <v>8</v>
      </c>
      <c r="K29" s="12" t="s">
        <v>8</v>
      </c>
      <c r="L29" s="12" t="s">
        <v>8</v>
      </c>
      <c r="M29" s="14">
        <v>14280</v>
      </c>
      <c r="N29" s="15">
        <v>14520</v>
      </c>
      <c r="O29" s="26">
        <v>16608</v>
      </c>
      <c r="P29" s="26">
        <v>407040</v>
      </c>
      <c r="Q29" s="14">
        <v>421560</v>
      </c>
      <c r="R29" s="27">
        <v>438168</v>
      </c>
      <c r="S29" s="61"/>
    </row>
    <row r="30" spans="1:19" ht="21.75" customHeight="1">
      <c r="A30" s="10"/>
      <c r="B30" s="157" t="s">
        <v>163</v>
      </c>
      <c r="C30" s="149"/>
      <c r="D30" s="158"/>
      <c r="E30" s="165"/>
      <c r="F30" s="150">
        <f>17880*12</f>
        <v>214560</v>
      </c>
      <c r="G30" s="159"/>
      <c r="H30" s="156"/>
      <c r="I30" s="156"/>
      <c r="J30" s="156"/>
      <c r="K30" s="156"/>
      <c r="L30" s="156"/>
      <c r="M30" s="150">
        <f>(18480-17880)*12</f>
        <v>7200</v>
      </c>
      <c r="N30" s="150">
        <f>(19100-18480)*12</f>
        <v>7440</v>
      </c>
      <c r="O30" s="160">
        <f>19100*4/100*12</f>
        <v>9168</v>
      </c>
      <c r="P30" s="160">
        <f>F30+M30</f>
        <v>221760</v>
      </c>
      <c r="Q30" s="150">
        <f t="shared" ref="Q30:R32" si="3">P30+N30</f>
        <v>229200</v>
      </c>
      <c r="R30" s="161">
        <f t="shared" si="3"/>
        <v>238368</v>
      </c>
      <c r="S30" s="152"/>
    </row>
    <row r="31" spans="1:19" ht="21.75" customHeight="1">
      <c r="A31" s="10"/>
      <c r="B31" s="157" t="s">
        <v>164</v>
      </c>
      <c r="C31" s="149"/>
      <c r="D31" s="158"/>
      <c r="E31" s="165"/>
      <c r="F31" s="150">
        <f>14850*12</f>
        <v>178200</v>
      </c>
      <c r="G31" s="159"/>
      <c r="H31" s="156"/>
      <c r="I31" s="156"/>
      <c r="J31" s="156"/>
      <c r="K31" s="156"/>
      <c r="L31" s="156"/>
      <c r="M31" s="150">
        <f>(15440-14850)*12</f>
        <v>7080</v>
      </c>
      <c r="N31" s="150">
        <f>(16030-15440)*12</f>
        <v>7080</v>
      </c>
      <c r="O31" s="150">
        <f>(16650-16030)*12</f>
        <v>7440</v>
      </c>
      <c r="P31" s="160">
        <f>F31+M31</f>
        <v>185280</v>
      </c>
      <c r="Q31" s="150">
        <f t="shared" si="3"/>
        <v>192360</v>
      </c>
      <c r="R31" s="161">
        <f t="shared" si="3"/>
        <v>199800</v>
      </c>
      <c r="S31" s="152"/>
    </row>
    <row r="32" spans="1:19" ht="21.75" customHeight="1">
      <c r="A32" s="10"/>
      <c r="B32" s="42" t="s">
        <v>119</v>
      </c>
      <c r="C32" s="52" t="s">
        <v>8</v>
      </c>
      <c r="D32" s="46">
        <v>1</v>
      </c>
      <c r="E32" s="44">
        <v>1</v>
      </c>
      <c r="F32" s="14">
        <f>13070*12</f>
        <v>156840</v>
      </c>
      <c r="G32" s="13">
        <v>1</v>
      </c>
      <c r="H32" s="12">
        <v>1</v>
      </c>
      <c r="I32" s="12">
        <v>1</v>
      </c>
      <c r="J32" s="12" t="s">
        <v>8</v>
      </c>
      <c r="K32" s="12" t="s">
        <v>8</v>
      </c>
      <c r="L32" s="12" t="s">
        <v>8</v>
      </c>
      <c r="M32" s="14">
        <f>(13760-13070)*12</f>
        <v>8280</v>
      </c>
      <c r="N32" s="14">
        <f>(14310-13760)*12</f>
        <v>6600</v>
      </c>
      <c r="O32" s="14">
        <f>(14850-14310)*12</f>
        <v>6480</v>
      </c>
      <c r="P32" s="26">
        <f>F32+M32</f>
        <v>165120</v>
      </c>
      <c r="Q32" s="14">
        <f t="shared" si="3"/>
        <v>171720</v>
      </c>
      <c r="R32" s="27">
        <f t="shared" si="3"/>
        <v>178200</v>
      </c>
      <c r="S32" s="61"/>
    </row>
    <row r="33" spans="1:19" ht="21.75" customHeight="1">
      <c r="A33" s="10"/>
      <c r="B33" s="144" t="s">
        <v>62</v>
      </c>
      <c r="C33" s="52"/>
      <c r="D33" s="46"/>
      <c r="E33" s="44"/>
      <c r="F33" s="14"/>
      <c r="G33" s="13"/>
      <c r="H33" s="12"/>
      <c r="I33" s="12"/>
      <c r="J33" s="12"/>
      <c r="K33" s="12"/>
      <c r="L33" s="12"/>
      <c r="M33" s="14"/>
      <c r="N33" s="15"/>
      <c r="O33" s="26"/>
      <c r="P33" s="26"/>
      <c r="Q33" s="14"/>
      <c r="R33" s="27"/>
      <c r="S33" s="61"/>
    </row>
    <row r="34" spans="1:19" ht="21.75" customHeight="1">
      <c r="A34" s="10"/>
      <c r="B34" s="42" t="s">
        <v>240</v>
      </c>
      <c r="C34" s="52" t="s">
        <v>8</v>
      </c>
      <c r="D34" s="46">
        <v>1</v>
      </c>
      <c r="E34" s="44" t="s">
        <v>8</v>
      </c>
      <c r="F34" s="14" t="s">
        <v>8</v>
      </c>
      <c r="G34" s="13">
        <v>1</v>
      </c>
      <c r="H34" s="12">
        <v>1</v>
      </c>
      <c r="I34" s="12">
        <v>1</v>
      </c>
      <c r="J34" s="185">
        <v>1</v>
      </c>
      <c r="K34" s="12" t="s">
        <v>8</v>
      </c>
      <c r="L34" s="12" t="s">
        <v>8</v>
      </c>
      <c r="M34" s="14">
        <v>180000</v>
      </c>
      <c r="N34" s="15">
        <v>7200</v>
      </c>
      <c r="O34" s="26">
        <v>7560</v>
      </c>
      <c r="P34" s="26">
        <f>M34</f>
        <v>180000</v>
      </c>
      <c r="Q34" s="14">
        <f>P34+N34</f>
        <v>187200</v>
      </c>
      <c r="R34" s="27">
        <f>Q34+O34</f>
        <v>194760</v>
      </c>
      <c r="S34" s="61"/>
    </row>
    <row r="35" spans="1:19" ht="21.75" customHeight="1">
      <c r="A35" s="10"/>
      <c r="B35" s="42" t="s">
        <v>241</v>
      </c>
      <c r="C35" s="52" t="s">
        <v>8</v>
      </c>
      <c r="D35" s="46">
        <v>1</v>
      </c>
      <c r="E35" s="44" t="s">
        <v>8</v>
      </c>
      <c r="F35" s="14" t="s">
        <v>8</v>
      </c>
      <c r="G35" s="13" t="s">
        <v>8</v>
      </c>
      <c r="H35" s="12">
        <v>1</v>
      </c>
      <c r="I35" s="12">
        <v>1</v>
      </c>
      <c r="J35" s="185" t="s">
        <v>8</v>
      </c>
      <c r="K35" s="185">
        <v>1</v>
      </c>
      <c r="L35" s="12" t="s">
        <v>8</v>
      </c>
      <c r="M35" s="14" t="s">
        <v>8</v>
      </c>
      <c r="N35" s="15">
        <v>180000</v>
      </c>
      <c r="O35" s="26">
        <v>7200</v>
      </c>
      <c r="P35" s="26" t="s">
        <v>8</v>
      </c>
      <c r="Q35" s="14">
        <f>N35</f>
        <v>180000</v>
      </c>
      <c r="R35" s="27">
        <f>Q35+O35</f>
        <v>187200</v>
      </c>
      <c r="S35" s="61"/>
    </row>
    <row r="36" spans="1:19" ht="21.75" customHeight="1">
      <c r="A36" s="17"/>
      <c r="B36" s="61" t="s">
        <v>139</v>
      </c>
      <c r="C36" s="52" t="s">
        <v>8</v>
      </c>
      <c r="D36" s="46">
        <v>2</v>
      </c>
      <c r="E36" s="46">
        <v>1</v>
      </c>
      <c r="F36" s="14">
        <f>15270*12</f>
        <v>183240</v>
      </c>
      <c r="G36" s="13">
        <v>1</v>
      </c>
      <c r="H36" s="12">
        <v>2</v>
      </c>
      <c r="I36" s="12">
        <v>2</v>
      </c>
      <c r="J36" s="185" t="s">
        <v>8</v>
      </c>
      <c r="K36" s="185">
        <v>1</v>
      </c>
      <c r="L36" s="12" t="s">
        <v>8</v>
      </c>
      <c r="M36" s="14">
        <f>620*12</f>
        <v>7440</v>
      </c>
      <c r="N36" s="15">
        <f>640*12+180000</f>
        <v>187680</v>
      </c>
      <c r="O36" s="26">
        <f>670*12+7200</f>
        <v>15240</v>
      </c>
      <c r="P36" s="26">
        <f>F36+M36</f>
        <v>190680</v>
      </c>
      <c r="Q36" s="14">
        <f>P36+N36</f>
        <v>378360</v>
      </c>
      <c r="R36" s="27">
        <f t="shared" ref="Q36:R43" si="4">Q36+O36</f>
        <v>393600</v>
      </c>
      <c r="S36" s="61"/>
    </row>
    <row r="37" spans="1:19" ht="21.75" customHeight="1">
      <c r="A37" s="10"/>
      <c r="B37" s="42" t="s">
        <v>136</v>
      </c>
      <c r="C37" s="52" t="s">
        <v>8</v>
      </c>
      <c r="D37" s="46">
        <v>1</v>
      </c>
      <c r="E37" s="46">
        <v>1</v>
      </c>
      <c r="F37" s="14">
        <f>13570*12</f>
        <v>162840</v>
      </c>
      <c r="G37" s="13">
        <v>1</v>
      </c>
      <c r="H37" s="12">
        <v>1</v>
      </c>
      <c r="I37" s="12">
        <v>1</v>
      </c>
      <c r="J37" s="12" t="s">
        <v>8</v>
      </c>
      <c r="K37" s="12" t="s">
        <v>8</v>
      </c>
      <c r="L37" s="12" t="s">
        <v>8</v>
      </c>
      <c r="M37" s="14">
        <f>550*12</f>
        <v>6600</v>
      </c>
      <c r="N37" s="15">
        <f>570*12</f>
        <v>6840</v>
      </c>
      <c r="O37" s="26">
        <f>590*12</f>
        <v>7080</v>
      </c>
      <c r="P37" s="26">
        <f t="shared" ref="P37:P43" si="5">F37+M37</f>
        <v>169440</v>
      </c>
      <c r="Q37" s="14">
        <f t="shared" si="4"/>
        <v>176280</v>
      </c>
      <c r="R37" s="27">
        <f t="shared" si="4"/>
        <v>183360</v>
      </c>
      <c r="S37" s="61"/>
    </row>
    <row r="38" spans="1:19" ht="21.75" customHeight="1">
      <c r="A38" s="10"/>
      <c r="B38" s="42" t="s">
        <v>137</v>
      </c>
      <c r="C38" s="52" t="s">
        <v>8</v>
      </c>
      <c r="D38" s="46">
        <v>1</v>
      </c>
      <c r="E38" s="46">
        <v>1</v>
      </c>
      <c r="F38" s="14">
        <f>13010*12</f>
        <v>156120</v>
      </c>
      <c r="G38" s="13">
        <v>1</v>
      </c>
      <c r="H38" s="12">
        <v>1</v>
      </c>
      <c r="I38" s="12">
        <v>1</v>
      </c>
      <c r="J38" s="12" t="s">
        <v>8</v>
      </c>
      <c r="K38" s="12" t="s">
        <v>8</v>
      </c>
      <c r="L38" s="12" t="s">
        <v>8</v>
      </c>
      <c r="M38" s="14">
        <f>530*12</f>
        <v>6360</v>
      </c>
      <c r="N38" s="15">
        <f>550*12</f>
        <v>6600</v>
      </c>
      <c r="O38" s="26">
        <f>570*12</f>
        <v>6840</v>
      </c>
      <c r="P38" s="26">
        <f t="shared" si="5"/>
        <v>162480</v>
      </c>
      <c r="Q38" s="14">
        <f t="shared" si="4"/>
        <v>169080</v>
      </c>
      <c r="R38" s="27">
        <f t="shared" si="4"/>
        <v>175920</v>
      </c>
      <c r="S38" s="61"/>
    </row>
    <row r="39" spans="1:19" ht="21.75" customHeight="1">
      <c r="A39" s="10"/>
      <c r="B39" s="42" t="s">
        <v>123</v>
      </c>
      <c r="C39" s="52" t="s">
        <v>8</v>
      </c>
      <c r="D39" s="46">
        <v>1</v>
      </c>
      <c r="E39" s="46">
        <v>1</v>
      </c>
      <c r="F39" s="14">
        <f>9900*12</f>
        <v>118800</v>
      </c>
      <c r="G39" s="13">
        <v>1</v>
      </c>
      <c r="H39" s="12">
        <v>1</v>
      </c>
      <c r="I39" s="12">
        <v>1</v>
      </c>
      <c r="J39" s="12" t="s">
        <v>8</v>
      </c>
      <c r="K39" s="12" t="s">
        <v>8</v>
      </c>
      <c r="L39" s="12" t="s">
        <v>8</v>
      </c>
      <c r="M39" s="14">
        <v>4800</v>
      </c>
      <c r="N39" s="15">
        <v>5040</v>
      </c>
      <c r="O39" s="14">
        <v>5160</v>
      </c>
      <c r="P39" s="15">
        <f t="shared" si="5"/>
        <v>123600</v>
      </c>
      <c r="Q39" s="14">
        <f t="shared" si="4"/>
        <v>128640</v>
      </c>
      <c r="R39" s="14">
        <f t="shared" si="4"/>
        <v>133800</v>
      </c>
      <c r="S39" s="61"/>
    </row>
    <row r="40" spans="1:19" ht="21.75" customHeight="1">
      <c r="A40" s="10"/>
      <c r="B40" s="42" t="s">
        <v>242</v>
      </c>
      <c r="C40" s="52" t="s">
        <v>8</v>
      </c>
      <c r="D40" s="46">
        <v>1</v>
      </c>
      <c r="E40" s="46" t="s">
        <v>8</v>
      </c>
      <c r="F40" s="14" t="s">
        <v>8</v>
      </c>
      <c r="G40" s="13">
        <v>1</v>
      </c>
      <c r="H40" s="12">
        <v>1</v>
      </c>
      <c r="I40" s="12">
        <v>1</v>
      </c>
      <c r="J40" s="185">
        <v>1</v>
      </c>
      <c r="K40" s="12" t="s">
        <v>8</v>
      </c>
      <c r="L40" s="12" t="s">
        <v>8</v>
      </c>
      <c r="M40" s="14">
        <v>138000</v>
      </c>
      <c r="N40" s="15">
        <v>5520</v>
      </c>
      <c r="O40" s="26">
        <v>5760</v>
      </c>
      <c r="P40" s="14">
        <f>M40</f>
        <v>138000</v>
      </c>
      <c r="Q40" s="14">
        <f>P40+N40</f>
        <v>143520</v>
      </c>
      <c r="R40" s="27">
        <f>Q40+O40</f>
        <v>149280</v>
      </c>
      <c r="S40" s="61"/>
    </row>
    <row r="41" spans="1:19" ht="21.75" customHeight="1">
      <c r="A41" s="10"/>
      <c r="B41" s="42" t="s">
        <v>138</v>
      </c>
      <c r="C41" s="52" t="s">
        <v>8</v>
      </c>
      <c r="D41" s="46">
        <v>1</v>
      </c>
      <c r="E41" s="46">
        <v>1</v>
      </c>
      <c r="F41" s="14">
        <f>11730*12</f>
        <v>140760</v>
      </c>
      <c r="G41" s="13">
        <v>1</v>
      </c>
      <c r="H41" s="12">
        <v>1</v>
      </c>
      <c r="I41" s="12">
        <v>1</v>
      </c>
      <c r="J41" s="12" t="s">
        <v>8</v>
      </c>
      <c r="K41" s="12" t="s">
        <v>8</v>
      </c>
      <c r="L41" s="12" t="s">
        <v>8</v>
      </c>
      <c r="M41" s="14">
        <f>470*12</f>
        <v>5640</v>
      </c>
      <c r="N41" s="15">
        <f>490*12</f>
        <v>5880</v>
      </c>
      <c r="O41" s="26">
        <f>510*12</f>
        <v>6120</v>
      </c>
      <c r="P41" s="26">
        <f t="shared" si="5"/>
        <v>146400</v>
      </c>
      <c r="Q41" s="14">
        <f t="shared" si="4"/>
        <v>152280</v>
      </c>
      <c r="R41" s="27">
        <f t="shared" si="4"/>
        <v>158400</v>
      </c>
      <c r="S41" s="61"/>
    </row>
    <row r="42" spans="1:19" ht="21.75" customHeight="1">
      <c r="A42" s="10"/>
      <c r="B42" s="42" t="s">
        <v>140</v>
      </c>
      <c r="C42" s="52" t="s">
        <v>8</v>
      </c>
      <c r="D42" s="46">
        <v>1</v>
      </c>
      <c r="E42" s="46">
        <v>1</v>
      </c>
      <c r="F42" s="14">
        <f>10680*12</f>
        <v>128160</v>
      </c>
      <c r="G42" s="13">
        <v>1</v>
      </c>
      <c r="H42" s="12">
        <v>1</v>
      </c>
      <c r="I42" s="12">
        <v>1</v>
      </c>
      <c r="J42" s="12" t="s">
        <v>8</v>
      </c>
      <c r="K42" s="12" t="s">
        <v>8</v>
      </c>
      <c r="L42" s="12" t="s">
        <v>8</v>
      </c>
      <c r="M42" s="14">
        <f>430*12</f>
        <v>5160</v>
      </c>
      <c r="N42" s="15">
        <f>450*12</f>
        <v>5400</v>
      </c>
      <c r="O42" s="14">
        <f>470*12</f>
        <v>5640</v>
      </c>
      <c r="P42" s="15">
        <f t="shared" si="5"/>
        <v>133320</v>
      </c>
      <c r="Q42" s="14">
        <f t="shared" si="4"/>
        <v>138720</v>
      </c>
      <c r="R42" s="14">
        <f t="shared" si="4"/>
        <v>144360</v>
      </c>
      <c r="S42" s="61"/>
    </row>
    <row r="43" spans="1:19" ht="21.75" customHeight="1">
      <c r="A43" s="10"/>
      <c r="B43" s="42" t="s">
        <v>141</v>
      </c>
      <c r="C43" s="52" t="s">
        <v>8</v>
      </c>
      <c r="D43" s="46">
        <v>1</v>
      </c>
      <c r="E43" s="46">
        <v>1</v>
      </c>
      <c r="F43" s="14">
        <f>17360*12</f>
        <v>208320</v>
      </c>
      <c r="G43" s="13">
        <v>1</v>
      </c>
      <c r="H43" s="12">
        <v>1</v>
      </c>
      <c r="I43" s="12">
        <v>1</v>
      </c>
      <c r="J43" s="12" t="s">
        <v>8</v>
      </c>
      <c r="K43" s="12" t="s">
        <v>8</v>
      </c>
      <c r="L43" s="12" t="s">
        <v>8</v>
      </c>
      <c r="M43" s="14">
        <f>670*12</f>
        <v>8040</v>
      </c>
      <c r="N43" s="15">
        <f>730*12</f>
        <v>8760</v>
      </c>
      <c r="O43" s="26">
        <f>760*12</f>
        <v>9120</v>
      </c>
      <c r="P43" s="14">
        <f t="shared" si="5"/>
        <v>216360</v>
      </c>
      <c r="Q43" s="14">
        <f t="shared" si="4"/>
        <v>225120</v>
      </c>
      <c r="R43" s="14">
        <f t="shared" si="4"/>
        <v>234240</v>
      </c>
      <c r="S43" s="61"/>
    </row>
    <row r="44" spans="1:19" ht="21.75" customHeight="1">
      <c r="A44" s="10"/>
      <c r="B44" s="42" t="s">
        <v>64</v>
      </c>
      <c r="C44" s="52" t="s">
        <v>8</v>
      </c>
      <c r="D44" s="46">
        <v>8</v>
      </c>
      <c r="E44" s="46">
        <v>7</v>
      </c>
      <c r="F44" s="14">
        <v>892680</v>
      </c>
      <c r="G44" s="13">
        <v>7</v>
      </c>
      <c r="H44" s="12">
        <v>8</v>
      </c>
      <c r="I44" s="12">
        <v>8</v>
      </c>
      <c r="J44" s="12" t="s">
        <v>8</v>
      </c>
      <c r="K44" s="185">
        <v>1</v>
      </c>
      <c r="L44" s="12" t="s">
        <v>8</v>
      </c>
      <c r="M44" s="14">
        <v>36240</v>
      </c>
      <c r="N44" s="15">
        <f>37440+112800</f>
        <v>150240</v>
      </c>
      <c r="O44" s="26">
        <f>39000+4560</f>
        <v>43560</v>
      </c>
      <c r="P44" s="26">
        <f>F44+M44</f>
        <v>928920</v>
      </c>
      <c r="Q44" s="14">
        <f>P44+N44</f>
        <v>1079160</v>
      </c>
      <c r="R44" s="27">
        <f>Q44+P44</f>
        <v>2008080</v>
      </c>
      <c r="S44" s="61"/>
    </row>
    <row r="45" spans="1:19" ht="21.75" customHeight="1">
      <c r="A45" s="10"/>
      <c r="B45" s="157" t="s">
        <v>246</v>
      </c>
      <c r="C45" s="149"/>
      <c r="D45" s="158"/>
      <c r="E45" s="158"/>
      <c r="F45" s="150">
        <f>10890*12</f>
        <v>130680</v>
      </c>
      <c r="G45" s="159"/>
      <c r="H45" s="156"/>
      <c r="I45" s="156"/>
      <c r="J45" s="156"/>
      <c r="K45" s="156"/>
      <c r="L45" s="156"/>
      <c r="M45" s="150">
        <v>5280</v>
      </c>
      <c r="N45" s="151">
        <v>5520</v>
      </c>
      <c r="O45" s="150">
        <v>5760</v>
      </c>
      <c r="P45" s="151">
        <f t="shared" ref="P45" si="6">F45+M45</f>
        <v>135960</v>
      </c>
      <c r="Q45" s="150">
        <f t="shared" ref="Q45" si="7">P45+N45</f>
        <v>141480</v>
      </c>
      <c r="R45" s="150">
        <f t="shared" ref="R45" si="8">Q45+O45</f>
        <v>147240</v>
      </c>
      <c r="S45" s="61"/>
    </row>
    <row r="46" spans="1:19" ht="21.75" customHeight="1">
      <c r="A46" s="10"/>
      <c r="B46" s="157" t="s">
        <v>247</v>
      </c>
      <c r="C46" s="149"/>
      <c r="D46" s="158"/>
      <c r="E46" s="158"/>
      <c r="F46" s="150">
        <f>10780*12</f>
        <v>129360</v>
      </c>
      <c r="G46" s="159"/>
      <c r="H46" s="156"/>
      <c r="I46" s="156"/>
      <c r="J46" s="156"/>
      <c r="K46" s="156"/>
      <c r="L46" s="156"/>
      <c r="M46" s="150">
        <f>440*12</f>
        <v>5280</v>
      </c>
      <c r="N46" s="151">
        <f>450*12</f>
        <v>5400</v>
      </c>
      <c r="O46" s="160">
        <f>470*12</f>
        <v>5640</v>
      </c>
      <c r="P46" s="150">
        <f t="shared" ref="P46" si="9">F46+M46</f>
        <v>134640</v>
      </c>
      <c r="Q46" s="150">
        <f t="shared" ref="Q46" si="10">P46+N46</f>
        <v>140040</v>
      </c>
      <c r="R46" s="161">
        <f t="shared" ref="R46" si="11">Q46+O46</f>
        <v>145680</v>
      </c>
      <c r="S46" s="61"/>
    </row>
    <row r="47" spans="1:19" s="153" customFormat="1" ht="21.75" customHeight="1">
      <c r="A47" s="148"/>
      <c r="B47" s="157" t="s">
        <v>178</v>
      </c>
      <c r="C47" s="149"/>
      <c r="D47" s="158"/>
      <c r="E47" s="158"/>
      <c r="F47" s="150">
        <f>10780*12</f>
        <v>129360</v>
      </c>
      <c r="G47" s="159"/>
      <c r="H47" s="156"/>
      <c r="I47" s="156"/>
      <c r="J47" s="156"/>
      <c r="K47" s="156"/>
      <c r="L47" s="156"/>
      <c r="M47" s="150">
        <f>440*12</f>
        <v>5280</v>
      </c>
      <c r="N47" s="151">
        <f>450*12</f>
        <v>5400</v>
      </c>
      <c r="O47" s="160">
        <f>470*12</f>
        <v>5640</v>
      </c>
      <c r="P47" s="150">
        <f t="shared" ref="P47:P61" si="12">F47+M47</f>
        <v>134640</v>
      </c>
      <c r="Q47" s="150">
        <f t="shared" ref="Q47:R51" si="13">P47+N47</f>
        <v>140040</v>
      </c>
      <c r="R47" s="161">
        <f t="shared" si="13"/>
        <v>145680</v>
      </c>
      <c r="S47" s="152"/>
    </row>
    <row r="48" spans="1:19" s="153" customFormat="1" ht="21.75" customHeight="1">
      <c r="A48" s="148"/>
      <c r="B48" s="157" t="s">
        <v>179</v>
      </c>
      <c r="C48" s="149"/>
      <c r="D48" s="158"/>
      <c r="E48" s="158"/>
      <c r="F48" s="150">
        <f>11000*12</f>
        <v>132000</v>
      </c>
      <c r="G48" s="159"/>
      <c r="H48" s="156"/>
      <c r="I48" s="156"/>
      <c r="J48" s="156"/>
      <c r="K48" s="156"/>
      <c r="L48" s="156"/>
      <c r="M48" s="150">
        <f>440*12</f>
        <v>5280</v>
      </c>
      <c r="N48" s="151">
        <f>460*12</f>
        <v>5520</v>
      </c>
      <c r="O48" s="160">
        <f>480*12</f>
        <v>5760</v>
      </c>
      <c r="P48" s="150">
        <f t="shared" si="12"/>
        <v>137280</v>
      </c>
      <c r="Q48" s="150">
        <f t="shared" si="13"/>
        <v>142800</v>
      </c>
      <c r="R48" s="161">
        <f t="shared" si="13"/>
        <v>148560</v>
      </c>
      <c r="S48" s="152"/>
    </row>
    <row r="49" spans="1:19" s="153" customFormat="1" ht="21.75" customHeight="1">
      <c r="A49" s="148"/>
      <c r="B49" s="157" t="s">
        <v>180</v>
      </c>
      <c r="C49" s="149"/>
      <c r="D49" s="158"/>
      <c r="E49" s="158"/>
      <c r="F49" s="150">
        <f>10780*12</f>
        <v>129360</v>
      </c>
      <c r="G49" s="159"/>
      <c r="H49" s="156"/>
      <c r="I49" s="156"/>
      <c r="J49" s="156"/>
      <c r="K49" s="156"/>
      <c r="L49" s="156"/>
      <c r="M49" s="150">
        <f>440*12</f>
        <v>5280</v>
      </c>
      <c r="N49" s="151">
        <f>450*12</f>
        <v>5400</v>
      </c>
      <c r="O49" s="160">
        <f>470*12</f>
        <v>5640</v>
      </c>
      <c r="P49" s="150">
        <f t="shared" si="12"/>
        <v>134640</v>
      </c>
      <c r="Q49" s="150">
        <f t="shared" si="13"/>
        <v>140040</v>
      </c>
      <c r="R49" s="161">
        <f t="shared" si="13"/>
        <v>145680</v>
      </c>
      <c r="S49" s="152"/>
    </row>
    <row r="50" spans="1:19" s="153" customFormat="1" ht="21.75" customHeight="1">
      <c r="A50" s="148"/>
      <c r="B50" s="157" t="s">
        <v>181</v>
      </c>
      <c r="C50" s="149"/>
      <c r="D50" s="158"/>
      <c r="E50" s="158"/>
      <c r="F50" s="150">
        <f>10260*12</f>
        <v>123120</v>
      </c>
      <c r="G50" s="155"/>
      <c r="H50" s="156"/>
      <c r="I50" s="156"/>
      <c r="J50" s="156"/>
      <c r="K50" s="156"/>
      <c r="L50" s="156"/>
      <c r="M50" s="150">
        <f>420*12</f>
        <v>5040</v>
      </c>
      <c r="N50" s="151">
        <f>430*12</f>
        <v>5160</v>
      </c>
      <c r="O50" s="150">
        <f>450*12</f>
        <v>5400</v>
      </c>
      <c r="P50" s="151">
        <f t="shared" si="12"/>
        <v>128160</v>
      </c>
      <c r="Q50" s="150">
        <f t="shared" si="13"/>
        <v>133320</v>
      </c>
      <c r="R50" s="150">
        <f t="shared" si="13"/>
        <v>138720</v>
      </c>
      <c r="S50" s="152"/>
    </row>
    <row r="51" spans="1:19" s="153" customFormat="1" ht="21.75" customHeight="1">
      <c r="A51" s="148"/>
      <c r="B51" s="157" t="s">
        <v>182</v>
      </c>
      <c r="C51" s="149"/>
      <c r="D51" s="158"/>
      <c r="E51" s="158"/>
      <c r="F51" s="150">
        <f>9900*12</f>
        <v>118800</v>
      </c>
      <c r="G51" s="159"/>
      <c r="H51" s="156"/>
      <c r="I51" s="156"/>
      <c r="J51" s="156"/>
      <c r="K51" s="156"/>
      <c r="L51" s="156"/>
      <c r="M51" s="150">
        <v>4800</v>
      </c>
      <c r="N51" s="151">
        <v>5040</v>
      </c>
      <c r="O51" s="150">
        <v>5160</v>
      </c>
      <c r="P51" s="151">
        <f t="shared" si="12"/>
        <v>123600</v>
      </c>
      <c r="Q51" s="150">
        <f t="shared" si="13"/>
        <v>128640</v>
      </c>
      <c r="R51" s="150">
        <f t="shared" si="13"/>
        <v>133800</v>
      </c>
      <c r="S51" s="152"/>
    </row>
    <row r="52" spans="1:19" s="153" customFormat="1" ht="21.75" customHeight="1">
      <c r="A52" s="148"/>
      <c r="B52" s="157"/>
      <c r="C52" s="149"/>
      <c r="D52" s="158"/>
      <c r="E52" s="158"/>
      <c r="F52" s="150">
        <f>SUM(F45:F51)</f>
        <v>892680</v>
      </c>
      <c r="G52" s="150">
        <f t="shared" ref="G52:R52" si="14">SUM(G45:G51)</f>
        <v>0</v>
      </c>
      <c r="H52" s="150">
        <f t="shared" si="14"/>
        <v>0</v>
      </c>
      <c r="I52" s="150">
        <f t="shared" si="14"/>
        <v>0</v>
      </c>
      <c r="J52" s="150">
        <f t="shared" si="14"/>
        <v>0</v>
      </c>
      <c r="K52" s="150">
        <f t="shared" si="14"/>
        <v>0</v>
      </c>
      <c r="L52" s="150">
        <f t="shared" si="14"/>
        <v>0</v>
      </c>
      <c r="M52" s="150">
        <f t="shared" si="14"/>
        <v>36240</v>
      </c>
      <c r="N52" s="150">
        <f t="shared" si="14"/>
        <v>37440</v>
      </c>
      <c r="O52" s="150">
        <f t="shared" si="14"/>
        <v>39000</v>
      </c>
      <c r="P52" s="150">
        <f t="shared" si="14"/>
        <v>928920</v>
      </c>
      <c r="Q52" s="150">
        <f t="shared" si="14"/>
        <v>966360</v>
      </c>
      <c r="R52" s="150">
        <f t="shared" si="14"/>
        <v>1005360</v>
      </c>
      <c r="S52" s="152"/>
    </row>
    <row r="53" spans="1:19" ht="21.75" customHeight="1">
      <c r="A53" s="10"/>
      <c r="B53" s="42" t="s">
        <v>119</v>
      </c>
      <c r="C53" s="52" t="s">
        <v>8</v>
      </c>
      <c r="D53" s="46">
        <v>8</v>
      </c>
      <c r="E53" s="46">
        <v>8</v>
      </c>
      <c r="F53" s="14">
        <v>1036560</v>
      </c>
      <c r="G53" s="13">
        <v>9</v>
      </c>
      <c r="H53" s="12">
        <v>10</v>
      </c>
      <c r="I53" s="12">
        <v>11</v>
      </c>
      <c r="J53" s="185">
        <v>1</v>
      </c>
      <c r="K53" s="185">
        <v>1</v>
      </c>
      <c r="L53" s="185">
        <v>1</v>
      </c>
      <c r="M53" s="14">
        <f>41880+112800</f>
        <v>154680</v>
      </c>
      <c r="N53" s="15">
        <f>43680+4560+112800</f>
        <v>161040</v>
      </c>
      <c r="O53" s="26">
        <f>45600+4800+4560+112800</f>
        <v>167760</v>
      </c>
      <c r="P53" s="26">
        <f t="shared" si="12"/>
        <v>1191240</v>
      </c>
      <c r="Q53" s="14">
        <f>P53+N53</f>
        <v>1352280</v>
      </c>
      <c r="R53" s="27">
        <f>Q53+O53</f>
        <v>1520040</v>
      </c>
      <c r="S53" s="61"/>
    </row>
    <row r="54" spans="1:19" s="153" customFormat="1" ht="21.75" customHeight="1">
      <c r="A54" s="148"/>
      <c r="B54" s="157" t="s">
        <v>183</v>
      </c>
      <c r="C54" s="149"/>
      <c r="D54" s="158"/>
      <c r="E54" s="165"/>
      <c r="F54" s="150">
        <f>10680*12</f>
        <v>128160</v>
      </c>
      <c r="G54" s="159"/>
      <c r="H54" s="156"/>
      <c r="I54" s="156"/>
      <c r="J54" s="156"/>
      <c r="K54" s="156"/>
      <c r="L54" s="156"/>
      <c r="M54" s="150">
        <f>430*12</f>
        <v>5160</v>
      </c>
      <c r="N54" s="151">
        <f>450*12</f>
        <v>5400</v>
      </c>
      <c r="O54" s="150">
        <f>470*12</f>
        <v>5640</v>
      </c>
      <c r="P54" s="151">
        <f t="shared" si="12"/>
        <v>133320</v>
      </c>
      <c r="Q54" s="150">
        <f>P54+N54</f>
        <v>138720</v>
      </c>
      <c r="R54" s="150">
        <f>Q54+O54</f>
        <v>144360</v>
      </c>
      <c r="S54" s="152"/>
    </row>
    <row r="55" spans="1:19" s="153" customFormat="1" ht="21.75" customHeight="1">
      <c r="A55" s="148"/>
      <c r="B55" s="157" t="s">
        <v>184</v>
      </c>
      <c r="C55" s="149"/>
      <c r="D55" s="158"/>
      <c r="E55" s="165"/>
      <c r="F55" s="150">
        <f>10680*12</f>
        <v>128160</v>
      </c>
      <c r="G55" s="159"/>
      <c r="H55" s="156"/>
      <c r="I55" s="156"/>
      <c r="J55" s="156"/>
      <c r="K55" s="156"/>
      <c r="L55" s="156"/>
      <c r="M55" s="150">
        <f>430*12</f>
        <v>5160</v>
      </c>
      <c r="N55" s="151">
        <f>450*12</f>
        <v>5400</v>
      </c>
      <c r="O55" s="150">
        <f>470*12</f>
        <v>5640</v>
      </c>
      <c r="P55" s="151">
        <f t="shared" si="12"/>
        <v>133320</v>
      </c>
      <c r="Q55" s="150">
        <f t="shared" ref="Q55:R61" si="15">P55+N55</f>
        <v>138720</v>
      </c>
      <c r="R55" s="150">
        <f t="shared" si="15"/>
        <v>144360</v>
      </c>
      <c r="S55" s="152"/>
    </row>
    <row r="56" spans="1:19" s="153" customFormat="1" ht="21.75" customHeight="1">
      <c r="A56" s="148"/>
      <c r="B56" s="157" t="s">
        <v>185</v>
      </c>
      <c r="C56" s="149"/>
      <c r="D56" s="158"/>
      <c r="E56" s="165"/>
      <c r="F56" s="150">
        <f>10680*12</f>
        <v>128160</v>
      </c>
      <c r="G56" s="159"/>
      <c r="H56" s="156"/>
      <c r="I56" s="156"/>
      <c r="J56" s="156"/>
      <c r="K56" s="156"/>
      <c r="L56" s="156"/>
      <c r="M56" s="150">
        <f>430*12</f>
        <v>5160</v>
      </c>
      <c r="N56" s="151">
        <f>450*12</f>
        <v>5400</v>
      </c>
      <c r="O56" s="150">
        <f>470*12</f>
        <v>5640</v>
      </c>
      <c r="P56" s="151">
        <f t="shared" si="12"/>
        <v>133320</v>
      </c>
      <c r="Q56" s="150">
        <f t="shared" si="15"/>
        <v>138720</v>
      </c>
      <c r="R56" s="150">
        <f t="shared" si="15"/>
        <v>144360</v>
      </c>
      <c r="S56" s="152"/>
    </row>
    <row r="57" spans="1:19" s="153" customFormat="1" ht="21.75" customHeight="1">
      <c r="A57" s="148"/>
      <c r="B57" s="157" t="s">
        <v>186</v>
      </c>
      <c r="C57" s="149"/>
      <c r="D57" s="158"/>
      <c r="E57" s="165"/>
      <c r="F57" s="150">
        <f>10890*12</f>
        <v>130680</v>
      </c>
      <c r="G57" s="155"/>
      <c r="H57" s="156"/>
      <c r="I57" s="156"/>
      <c r="J57" s="156"/>
      <c r="K57" s="156"/>
      <c r="L57" s="156"/>
      <c r="M57" s="150">
        <v>5280</v>
      </c>
      <c r="N57" s="151">
        <v>5520</v>
      </c>
      <c r="O57" s="150">
        <v>5760</v>
      </c>
      <c r="P57" s="151">
        <f t="shared" si="12"/>
        <v>135960</v>
      </c>
      <c r="Q57" s="150">
        <f t="shared" si="15"/>
        <v>141480</v>
      </c>
      <c r="R57" s="150">
        <f t="shared" si="15"/>
        <v>147240</v>
      </c>
      <c r="S57" s="152"/>
    </row>
    <row r="58" spans="1:19" s="153" customFormat="1" ht="21.75" customHeight="1">
      <c r="A58" s="148"/>
      <c r="B58" s="157" t="s">
        <v>187</v>
      </c>
      <c r="C58" s="149"/>
      <c r="D58" s="158"/>
      <c r="E58" s="165"/>
      <c r="F58" s="150">
        <f>10890*12</f>
        <v>130680</v>
      </c>
      <c r="G58" s="155"/>
      <c r="H58" s="156"/>
      <c r="I58" s="156"/>
      <c r="J58" s="156"/>
      <c r="K58" s="156"/>
      <c r="L58" s="156"/>
      <c r="M58" s="150">
        <v>5280</v>
      </c>
      <c r="N58" s="151">
        <v>5520</v>
      </c>
      <c r="O58" s="150">
        <v>5760</v>
      </c>
      <c r="P58" s="151">
        <f t="shared" si="12"/>
        <v>135960</v>
      </c>
      <c r="Q58" s="150">
        <f t="shared" si="15"/>
        <v>141480</v>
      </c>
      <c r="R58" s="150">
        <f t="shared" si="15"/>
        <v>147240</v>
      </c>
      <c r="S58" s="152"/>
    </row>
    <row r="59" spans="1:19" s="153" customFormat="1" ht="21.75" customHeight="1">
      <c r="A59" s="148"/>
      <c r="B59" s="157" t="s">
        <v>188</v>
      </c>
      <c r="C59" s="149"/>
      <c r="D59" s="158"/>
      <c r="E59" s="165"/>
      <c r="F59" s="150">
        <f>10890*12</f>
        <v>130680</v>
      </c>
      <c r="G59" s="155"/>
      <c r="H59" s="156"/>
      <c r="I59" s="156"/>
      <c r="J59" s="156"/>
      <c r="K59" s="156"/>
      <c r="L59" s="156"/>
      <c r="M59" s="150">
        <v>5280</v>
      </c>
      <c r="N59" s="151">
        <v>5520</v>
      </c>
      <c r="O59" s="150">
        <v>5760</v>
      </c>
      <c r="P59" s="151">
        <f t="shared" si="12"/>
        <v>135960</v>
      </c>
      <c r="Q59" s="150">
        <f t="shared" si="15"/>
        <v>141480</v>
      </c>
      <c r="R59" s="150">
        <f t="shared" si="15"/>
        <v>147240</v>
      </c>
      <c r="S59" s="152"/>
    </row>
    <row r="60" spans="1:19" s="153" customFormat="1" ht="21.75" customHeight="1">
      <c r="A60" s="148"/>
      <c r="B60" s="157" t="s">
        <v>189</v>
      </c>
      <c r="C60" s="149"/>
      <c r="D60" s="158"/>
      <c r="E60" s="165"/>
      <c r="F60" s="150">
        <f>10890*12</f>
        <v>130680</v>
      </c>
      <c r="G60" s="155"/>
      <c r="H60" s="156"/>
      <c r="I60" s="156"/>
      <c r="J60" s="156"/>
      <c r="K60" s="156"/>
      <c r="L60" s="156"/>
      <c r="M60" s="150">
        <v>5280</v>
      </c>
      <c r="N60" s="151">
        <v>5520</v>
      </c>
      <c r="O60" s="150">
        <v>5760</v>
      </c>
      <c r="P60" s="151">
        <f t="shared" si="12"/>
        <v>135960</v>
      </c>
      <c r="Q60" s="150">
        <f t="shared" si="15"/>
        <v>141480</v>
      </c>
      <c r="R60" s="150">
        <f t="shared" si="15"/>
        <v>147240</v>
      </c>
      <c r="S60" s="152"/>
    </row>
    <row r="61" spans="1:19" s="153" customFormat="1" ht="21.75" customHeight="1">
      <c r="A61" s="148"/>
      <c r="B61" s="157" t="s">
        <v>190</v>
      </c>
      <c r="C61" s="149"/>
      <c r="D61" s="158"/>
      <c r="E61" s="165"/>
      <c r="F61" s="150">
        <f>10780*12</f>
        <v>129360</v>
      </c>
      <c r="G61" s="159"/>
      <c r="H61" s="156"/>
      <c r="I61" s="156"/>
      <c r="J61" s="156"/>
      <c r="K61" s="156"/>
      <c r="L61" s="156"/>
      <c r="M61" s="150">
        <f>440*12</f>
        <v>5280</v>
      </c>
      <c r="N61" s="151">
        <f>450*12</f>
        <v>5400</v>
      </c>
      <c r="O61" s="160">
        <f>470*12</f>
        <v>5640</v>
      </c>
      <c r="P61" s="150">
        <f t="shared" si="12"/>
        <v>134640</v>
      </c>
      <c r="Q61" s="150">
        <f t="shared" si="15"/>
        <v>140040</v>
      </c>
      <c r="R61" s="161">
        <f t="shared" si="15"/>
        <v>145680</v>
      </c>
      <c r="S61" s="152"/>
    </row>
    <row r="62" spans="1:19" ht="21.75" customHeight="1">
      <c r="A62" s="10"/>
      <c r="B62" s="144"/>
      <c r="C62" s="52"/>
      <c r="D62" s="46"/>
      <c r="E62" s="44"/>
      <c r="F62" s="14"/>
      <c r="G62" s="13"/>
      <c r="H62" s="12"/>
      <c r="I62" s="12"/>
      <c r="J62" s="12"/>
      <c r="K62" s="12"/>
      <c r="L62" s="12"/>
      <c r="M62" s="14"/>
      <c r="N62" s="15"/>
      <c r="O62" s="26"/>
      <c r="P62" s="26"/>
      <c r="Q62" s="14"/>
      <c r="R62" s="27"/>
      <c r="S62" s="61"/>
    </row>
    <row r="63" spans="1:19" ht="21.75" customHeight="1">
      <c r="A63" s="10"/>
      <c r="B63" s="144" t="s">
        <v>63</v>
      </c>
      <c r="C63" s="52"/>
      <c r="D63" s="46"/>
      <c r="E63" s="44"/>
      <c r="F63" s="14"/>
      <c r="G63" s="13"/>
      <c r="H63" s="12"/>
      <c r="I63" s="12"/>
      <c r="J63" s="12"/>
      <c r="K63" s="12"/>
      <c r="L63" s="12"/>
      <c r="M63" s="14"/>
      <c r="N63" s="15"/>
      <c r="O63" s="26"/>
      <c r="P63" s="26"/>
      <c r="Q63" s="14"/>
      <c r="R63" s="27"/>
      <c r="S63" s="61"/>
    </row>
    <row r="64" spans="1:19" ht="21.75" customHeight="1">
      <c r="A64" s="10"/>
      <c r="B64" s="42" t="s">
        <v>147</v>
      </c>
      <c r="C64" s="52" t="s">
        <v>8</v>
      </c>
      <c r="D64" s="46">
        <v>38</v>
      </c>
      <c r="E64" s="44">
        <v>20</v>
      </c>
      <c r="F64" s="14">
        <f>9000*E64*12</f>
        <v>2160000</v>
      </c>
      <c r="G64" s="13">
        <v>27</v>
      </c>
      <c r="H64" s="12">
        <v>32</v>
      </c>
      <c r="I64" s="12">
        <v>38</v>
      </c>
      <c r="J64" s="185">
        <v>7</v>
      </c>
      <c r="K64" s="185">
        <v>5</v>
      </c>
      <c r="L64" s="185">
        <v>6</v>
      </c>
      <c r="M64" s="14">
        <f>9000*12*7</f>
        <v>756000</v>
      </c>
      <c r="N64" s="15">
        <f>9000*12*5</f>
        <v>540000</v>
      </c>
      <c r="O64" s="26">
        <f>9000*12*6</f>
        <v>648000</v>
      </c>
      <c r="P64" s="26">
        <f>F64+M64</f>
        <v>2916000</v>
      </c>
      <c r="Q64" s="14">
        <f>P64+N64</f>
        <v>3456000</v>
      </c>
      <c r="R64" s="27">
        <f>Q64+O64</f>
        <v>4104000</v>
      </c>
      <c r="S64" s="61"/>
    </row>
    <row r="65" spans="1:19" ht="21.75" customHeight="1">
      <c r="A65" s="18"/>
      <c r="B65" s="147"/>
      <c r="C65" s="53"/>
      <c r="D65" s="40"/>
      <c r="E65" s="227"/>
      <c r="F65" s="22"/>
      <c r="G65" s="21"/>
      <c r="H65" s="20"/>
      <c r="I65" s="20"/>
      <c r="J65" s="20"/>
      <c r="K65" s="20"/>
      <c r="L65" s="20"/>
      <c r="M65" s="22"/>
      <c r="N65" s="23"/>
      <c r="O65" s="28"/>
      <c r="P65" s="28"/>
      <c r="Q65" s="22"/>
      <c r="R65" s="29"/>
      <c r="S65" s="62"/>
    </row>
    <row r="66" spans="1:19" s="25" customFormat="1" ht="21.75" customHeight="1">
      <c r="A66" s="24"/>
      <c r="B66" s="47" t="s">
        <v>9</v>
      </c>
      <c r="C66" s="53"/>
      <c r="D66" s="43">
        <f>SUM(D8:D65)</f>
        <v>93</v>
      </c>
      <c r="E66" s="43">
        <f>SUM(E8:E65)</f>
        <v>53</v>
      </c>
      <c r="F66" s="20">
        <f>F64+F53+F44+F43+F42+F41+F39+F38+F37+F36+F32+F29+F25+F21+F18+F16+F11+F9+F8</f>
        <v>7880880</v>
      </c>
      <c r="G66" s="43">
        <f t="shared" ref="G66" si="16">SUM(G8:G65)</f>
        <v>72</v>
      </c>
      <c r="H66" s="43">
        <f t="shared" ref="H66:I66" si="17">SUM(H8:H65)</f>
        <v>87</v>
      </c>
      <c r="I66" s="43">
        <f t="shared" si="17"/>
        <v>96</v>
      </c>
      <c r="J66" s="70"/>
      <c r="K66" s="70"/>
      <c r="L66" s="70"/>
      <c r="M66" s="43">
        <f>M53+M44+M43+M42+M41+M39+M38+M37+M36+M32+M29+M25+M21+M18+M16+M11+M10+M9+M8</f>
        <v>893040</v>
      </c>
      <c r="N66" s="43">
        <f>N53+N44+N43+N42+N41+N39+N38+N37+N36+N32+N29+N25+N21+N18+N16+N11+N10+N9+N8</f>
        <v>658560</v>
      </c>
      <c r="O66" s="43">
        <f>O53+O44+O43+O42+O41+O39+O38+O37+O36+O32+O29+O25+O21+O18+O16+O11+O10+O9+O8</f>
        <v>394368</v>
      </c>
      <c r="P66" s="43">
        <f>P64+P53+P44+P43+P42+P41+P39+P38+P37+P36+P32+P29+P25+P21+P18+P16+P11+P10+P9+P8</f>
        <v>9529920</v>
      </c>
      <c r="Q66" s="43">
        <f>Q64+Q53+Q44+Q43+Q42+Q41+Q39+Q38+Q37+Q36+Q32+Q29+Q25+Q21+Q18+Q16+Q11+Q10+Q9+Q8</f>
        <v>10728480</v>
      </c>
      <c r="R66" s="43">
        <f>R64+R53+R44+R43+R42+R41+R39+R38+R37+R36+R32+R29+R25+R21+R18+R16+R11+R10+R9+R8</f>
        <v>12656208</v>
      </c>
      <c r="S66" s="63"/>
    </row>
    <row r="67" spans="1:19" s="25" customFormat="1" ht="21.75" customHeight="1">
      <c r="A67" s="13"/>
      <c r="B67" s="71"/>
      <c r="C67" s="52"/>
      <c r="D67" s="71"/>
      <c r="E67" s="71"/>
      <c r="F67" s="13"/>
      <c r="G67" s="13"/>
      <c r="H67" s="13"/>
      <c r="I67" s="13"/>
      <c r="J67" s="72"/>
      <c r="K67" s="72"/>
      <c r="L67" s="72"/>
      <c r="M67" s="71"/>
      <c r="N67" s="71"/>
      <c r="O67" s="71"/>
      <c r="P67" s="71"/>
      <c r="Q67" s="71"/>
      <c r="R67" s="71"/>
      <c r="S67" s="73"/>
    </row>
    <row r="68" spans="1:19" s="25" customFormat="1" ht="21.75" customHeight="1">
      <c r="A68" s="13"/>
      <c r="B68" s="71"/>
      <c r="C68" s="52"/>
      <c r="D68" s="71"/>
      <c r="E68" s="71"/>
      <c r="F68" s="13"/>
      <c r="G68" s="13"/>
      <c r="H68" s="13"/>
      <c r="I68" s="13"/>
      <c r="J68" s="72"/>
      <c r="K68" s="72"/>
      <c r="L68" s="72"/>
      <c r="M68" s="71"/>
      <c r="N68" s="71"/>
      <c r="O68" s="71"/>
      <c r="P68" s="71"/>
      <c r="Q68" s="71"/>
      <c r="R68" s="71"/>
      <c r="S68" s="73"/>
    </row>
    <row r="69" spans="1:19" s="33" customFormat="1" ht="21.75" customHeight="1">
      <c r="A69" s="11"/>
      <c r="B69" s="48"/>
      <c r="C69" s="52"/>
      <c r="D69" s="44"/>
      <c r="E69" s="44"/>
      <c r="F69" s="34"/>
      <c r="G69" s="11"/>
      <c r="H69" s="11"/>
      <c r="I69" s="11"/>
      <c r="J69" s="11"/>
      <c r="K69" s="11"/>
      <c r="L69" s="11"/>
      <c r="M69" s="34"/>
      <c r="N69" s="34"/>
      <c r="O69" s="34"/>
      <c r="P69" s="34"/>
      <c r="Q69" s="34"/>
      <c r="R69" s="34"/>
    </row>
    <row r="70" spans="1:19" s="33" customFormat="1" ht="21.75" customHeight="1">
      <c r="A70" s="11"/>
      <c r="B70" s="48"/>
      <c r="C70" s="52"/>
      <c r="D70" s="44"/>
      <c r="E70" s="44"/>
      <c r="F70" s="34"/>
      <c r="G70" s="11"/>
      <c r="H70" s="11"/>
      <c r="I70" s="11"/>
      <c r="J70" s="11"/>
      <c r="K70" s="11"/>
      <c r="L70" s="11"/>
      <c r="M70" s="34"/>
      <c r="N70" s="34"/>
      <c r="O70" s="34"/>
      <c r="P70" s="34"/>
      <c r="Q70" s="34"/>
      <c r="R70" s="35"/>
    </row>
    <row r="71" spans="1:19" s="33" customFormat="1" ht="21.75" customHeight="1">
      <c r="A71" s="11"/>
      <c r="B71" s="48"/>
      <c r="C71" s="52"/>
      <c r="D71" s="44"/>
      <c r="E71" s="44"/>
      <c r="F71" s="34"/>
      <c r="G71" s="11"/>
      <c r="H71" s="11"/>
      <c r="I71" s="11"/>
      <c r="J71" s="11"/>
      <c r="K71" s="11"/>
      <c r="L71" s="11"/>
      <c r="M71" s="34"/>
      <c r="N71" s="34"/>
      <c r="O71" s="34"/>
      <c r="P71" s="34"/>
      <c r="Q71" s="34"/>
      <c r="R71" s="35"/>
    </row>
    <row r="72" spans="1:19" ht="21.75" customHeight="1">
      <c r="A72" s="11"/>
      <c r="B72" s="48"/>
      <c r="C72" s="52"/>
      <c r="D72" s="44"/>
      <c r="E72" s="44"/>
      <c r="F72" s="34"/>
      <c r="G72" s="11"/>
      <c r="H72" s="11"/>
      <c r="I72" s="11"/>
      <c r="J72" s="11"/>
      <c r="K72" s="11"/>
      <c r="L72" s="11"/>
      <c r="M72" s="35"/>
      <c r="N72" s="35"/>
      <c r="O72" s="35"/>
      <c r="P72" s="35"/>
      <c r="Q72" s="35"/>
      <c r="R72" s="35"/>
    </row>
    <row r="73" spans="1:19" ht="21.75" customHeight="1">
      <c r="A73" s="11"/>
      <c r="B73" s="48"/>
      <c r="C73" s="57"/>
      <c r="D73" s="44"/>
      <c r="E73" s="44"/>
      <c r="F73" s="34"/>
      <c r="G73" s="11"/>
      <c r="H73" s="11"/>
      <c r="I73" s="11"/>
      <c r="J73" s="11"/>
      <c r="K73" s="11"/>
      <c r="L73" s="11"/>
      <c r="M73" s="35"/>
      <c r="N73" s="35"/>
      <c r="O73" s="35"/>
      <c r="P73" s="35"/>
      <c r="Q73" s="35"/>
      <c r="R73" s="35"/>
    </row>
    <row r="74" spans="1:19" ht="21.75" customHeight="1">
      <c r="A74" s="11"/>
      <c r="B74" s="44"/>
      <c r="C74" s="52"/>
      <c r="D74" s="44"/>
      <c r="E74" s="44"/>
      <c r="F74" s="35"/>
      <c r="G74" s="11"/>
      <c r="H74" s="11"/>
      <c r="I74" s="11"/>
      <c r="J74" s="11"/>
      <c r="K74" s="11"/>
      <c r="L74" s="11"/>
      <c r="M74" s="35"/>
      <c r="N74" s="35"/>
      <c r="O74" s="35"/>
      <c r="P74" s="35"/>
      <c r="Q74" s="35"/>
      <c r="R74" s="35"/>
    </row>
  </sheetData>
  <mergeCells count="9">
    <mergeCell ref="A1:R1"/>
    <mergeCell ref="A2:R2"/>
    <mergeCell ref="A3:R3"/>
    <mergeCell ref="E4:F5"/>
    <mergeCell ref="G4:I4"/>
    <mergeCell ref="J4:L4"/>
    <mergeCell ref="P4:R4"/>
    <mergeCell ref="G5:I5"/>
    <mergeCell ref="J5:L5"/>
  </mergeCells>
  <pageMargins left="0.4" right="0.17" top="0.32" bottom="0.18" header="0.3" footer="0.17"/>
  <pageSetup paperSize="9" orientation="landscape" horizontalDpi="4294967294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AG79"/>
  <sheetViews>
    <sheetView view="pageBreakPreview" topLeftCell="A46" workbookViewId="0">
      <selection activeCell="F39" sqref="F39"/>
    </sheetView>
  </sheetViews>
  <sheetFormatPr defaultRowHeight="21.75" customHeight="1"/>
  <cols>
    <col min="1" max="1" width="3.7109375" style="38" customWidth="1"/>
    <col min="2" max="2" width="21.7109375" style="49" customWidth="1"/>
    <col min="3" max="3" width="6" style="58" customWidth="1"/>
    <col min="4" max="4" width="5.7109375" style="49" customWidth="1"/>
    <col min="5" max="5" width="7.85546875" style="49" customWidth="1"/>
    <col min="6" max="6" width="8.85546875" style="5" customWidth="1"/>
    <col min="7" max="12" width="6.28515625" style="5" customWidth="1"/>
    <col min="13" max="15" width="8.28515625" style="5" customWidth="1"/>
    <col min="16" max="18" width="8.7109375" style="5" customWidth="1"/>
    <col min="19" max="19" width="8" style="5" customWidth="1"/>
    <col min="20" max="20" width="4" style="5" customWidth="1"/>
    <col min="21" max="16384" width="9.140625" style="5"/>
  </cols>
  <sheetData>
    <row r="1" spans="1:33" s="1" customFormat="1" ht="21.75" customHeight="1">
      <c r="A1" s="267" t="s">
        <v>47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33" s="1" customFormat="1" ht="21.75" customHeight="1">
      <c r="A2" s="267" t="s">
        <v>31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33" s="1" customFormat="1" ht="21.75" customHeight="1">
      <c r="A3" s="268" t="s">
        <v>19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33" ht="21.75" customHeight="1">
      <c r="A4" s="2" t="s">
        <v>0</v>
      </c>
      <c r="B4" s="39" t="s">
        <v>1</v>
      </c>
      <c r="C4" s="65" t="s">
        <v>2</v>
      </c>
      <c r="D4" s="106" t="s">
        <v>4</v>
      </c>
      <c r="E4" s="269" t="s">
        <v>38</v>
      </c>
      <c r="F4" s="270"/>
      <c r="G4" s="273" t="s">
        <v>39</v>
      </c>
      <c r="H4" s="274"/>
      <c r="I4" s="275"/>
      <c r="J4" s="273" t="s">
        <v>44</v>
      </c>
      <c r="K4" s="274"/>
      <c r="L4" s="275"/>
      <c r="M4" s="3"/>
      <c r="N4" s="225" t="s">
        <v>7</v>
      </c>
      <c r="O4" s="4"/>
      <c r="P4" s="273" t="s">
        <v>6</v>
      </c>
      <c r="Q4" s="274"/>
      <c r="R4" s="275"/>
      <c r="S4" s="2" t="s">
        <v>42</v>
      </c>
    </row>
    <row r="5" spans="1:33" ht="21.75" customHeight="1">
      <c r="A5" s="17"/>
      <c r="B5" s="46"/>
      <c r="C5" s="66" t="s">
        <v>3</v>
      </c>
      <c r="D5" s="110" t="s">
        <v>5</v>
      </c>
      <c r="E5" s="271"/>
      <c r="F5" s="272"/>
      <c r="G5" s="276" t="s">
        <v>40</v>
      </c>
      <c r="H5" s="277"/>
      <c r="I5" s="278"/>
      <c r="J5" s="276" t="s">
        <v>45</v>
      </c>
      <c r="K5" s="277"/>
      <c r="L5" s="278"/>
      <c r="M5" s="59"/>
      <c r="N5" s="19"/>
      <c r="O5" s="60"/>
      <c r="P5" s="59"/>
      <c r="Q5" s="19"/>
      <c r="R5" s="60"/>
      <c r="S5" s="61"/>
    </row>
    <row r="6" spans="1:33" ht="21.75" customHeight="1">
      <c r="A6" s="6"/>
      <c r="B6" s="40"/>
      <c r="C6" s="50"/>
      <c r="D6" s="40"/>
      <c r="E6" s="114" t="s">
        <v>43</v>
      </c>
      <c r="F6" s="67" t="s">
        <v>41</v>
      </c>
      <c r="G6" s="7">
        <v>2558</v>
      </c>
      <c r="H6" s="7">
        <v>2559</v>
      </c>
      <c r="I6" s="7">
        <v>2560</v>
      </c>
      <c r="J6" s="7">
        <v>2558</v>
      </c>
      <c r="K6" s="7">
        <v>2559</v>
      </c>
      <c r="L6" s="7">
        <v>2560</v>
      </c>
      <c r="M6" s="7">
        <v>2558</v>
      </c>
      <c r="N6" s="7">
        <v>2559</v>
      </c>
      <c r="O6" s="7">
        <v>2560</v>
      </c>
      <c r="P6" s="7">
        <v>2558</v>
      </c>
      <c r="Q6" s="7">
        <v>2559</v>
      </c>
      <c r="R6" s="7">
        <v>2560</v>
      </c>
      <c r="S6" s="62"/>
    </row>
    <row r="7" spans="1:33" ht="21.75" customHeight="1">
      <c r="A7" s="224"/>
      <c r="B7" s="143" t="s">
        <v>61</v>
      </c>
      <c r="C7" s="51"/>
      <c r="D7" s="39"/>
      <c r="E7" s="141"/>
      <c r="F7" s="142"/>
      <c r="G7" s="2"/>
      <c r="H7" s="2"/>
      <c r="I7" s="2"/>
      <c r="J7" s="2"/>
      <c r="K7" s="2"/>
      <c r="L7" s="2"/>
      <c r="M7" s="2"/>
      <c r="N7" s="225"/>
      <c r="O7" s="224"/>
      <c r="P7" s="224"/>
      <c r="Q7" s="2"/>
      <c r="R7" s="226"/>
      <c r="S7" s="64"/>
    </row>
    <row r="8" spans="1:33" ht="21.75" customHeight="1">
      <c r="A8" s="32" t="s">
        <v>34</v>
      </c>
      <c r="B8" s="41" t="s">
        <v>108</v>
      </c>
      <c r="C8" s="52">
        <v>8</v>
      </c>
      <c r="D8" s="46">
        <v>1</v>
      </c>
      <c r="E8" s="71">
        <v>1</v>
      </c>
      <c r="F8" s="14">
        <f>51520*12+11200</f>
        <v>629440</v>
      </c>
      <c r="G8" s="12">
        <v>1</v>
      </c>
      <c r="H8" s="12">
        <v>1</v>
      </c>
      <c r="I8" s="12">
        <v>1</v>
      </c>
      <c r="J8" s="12" t="s">
        <v>8</v>
      </c>
      <c r="K8" s="12" t="s">
        <v>8</v>
      </c>
      <c r="L8" s="12" t="s">
        <v>8</v>
      </c>
      <c r="M8" s="14">
        <f>(53230-51520)*12</f>
        <v>20520</v>
      </c>
      <c r="N8" s="14">
        <f>(54960-53230)*12</f>
        <v>20760</v>
      </c>
      <c r="O8" s="14">
        <f>(56730-54960)*12</f>
        <v>21240</v>
      </c>
      <c r="P8" s="26">
        <f>F8+M8</f>
        <v>649960</v>
      </c>
      <c r="Q8" s="14">
        <f t="shared" ref="Q8:R10" si="0">P8+N8</f>
        <v>670720</v>
      </c>
      <c r="R8" s="27">
        <f t="shared" si="0"/>
        <v>691960</v>
      </c>
      <c r="S8" s="61"/>
    </row>
    <row r="9" spans="1:33" ht="21.75" customHeight="1">
      <c r="A9" s="32">
        <v>2</v>
      </c>
      <c r="B9" s="41" t="s">
        <v>109</v>
      </c>
      <c r="C9" s="52">
        <v>7</v>
      </c>
      <c r="D9" s="46">
        <v>2</v>
      </c>
      <c r="E9" s="71">
        <v>1</v>
      </c>
      <c r="F9" s="14">
        <f>33560*12</f>
        <v>402720</v>
      </c>
      <c r="G9" s="13">
        <v>2</v>
      </c>
      <c r="H9" s="12">
        <v>2</v>
      </c>
      <c r="I9" s="12">
        <v>2</v>
      </c>
      <c r="J9" s="68" t="s">
        <v>46</v>
      </c>
      <c r="K9" s="12" t="s">
        <v>8</v>
      </c>
      <c r="L9" s="12" t="s">
        <v>8</v>
      </c>
      <c r="M9" s="14">
        <f>(34680-33560)*12+367080</f>
        <v>380520</v>
      </c>
      <c r="N9" s="14">
        <f>(35770-34680)*12+13920</f>
        <v>27000</v>
      </c>
      <c r="O9" s="14">
        <f>(36860-35770)*12+13920</f>
        <v>27000</v>
      </c>
      <c r="P9" s="26">
        <f>F9+M9</f>
        <v>783240</v>
      </c>
      <c r="Q9" s="14">
        <f t="shared" si="0"/>
        <v>810240</v>
      </c>
      <c r="R9" s="27">
        <f t="shared" si="0"/>
        <v>837240</v>
      </c>
      <c r="S9" s="61"/>
    </row>
    <row r="10" spans="1:33" ht="21.75" customHeight="1">
      <c r="A10" s="32">
        <v>3</v>
      </c>
      <c r="B10" s="41" t="s">
        <v>110</v>
      </c>
      <c r="C10" s="52">
        <v>6</v>
      </c>
      <c r="D10" s="46">
        <v>1</v>
      </c>
      <c r="E10" s="71">
        <v>1</v>
      </c>
      <c r="F10" s="14">
        <f>22490*12</f>
        <v>269880</v>
      </c>
      <c r="G10" s="13">
        <v>1</v>
      </c>
      <c r="H10" s="12">
        <v>1</v>
      </c>
      <c r="I10" s="12">
        <v>1</v>
      </c>
      <c r="J10" s="12" t="s">
        <v>8</v>
      </c>
      <c r="K10" s="12" t="s">
        <v>8</v>
      </c>
      <c r="L10" s="12" t="s">
        <v>8</v>
      </c>
      <c r="M10" s="14">
        <f>(23370-22490)*12</f>
        <v>10560</v>
      </c>
      <c r="N10" s="14">
        <f>(24270-23370)*12</f>
        <v>10800</v>
      </c>
      <c r="O10" s="14">
        <f>(25190-24270)*12</f>
        <v>11040</v>
      </c>
      <c r="P10" s="26">
        <f>F10+M10</f>
        <v>280440</v>
      </c>
      <c r="Q10" s="14">
        <f t="shared" si="0"/>
        <v>291240</v>
      </c>
      <c r="R10" s="27">
        <f t="shared" si="0"/>
        <v>302280</v>
      </c>
      <c r="S10" s="61"/>
      <c r="T10" s="33"/>
      <c r="U10" s="11"/>
      <c r="V10" s="11"/>
      <c r="W10" s="11"/>
      <c r="X10" s="34"/>
      <c r="Y10" s="11"/>
      <c r="Z10" s="11"/>
      <c r="AA10" s="11"/>
      <c r="AB10" s="35"/>
      <c r="AC10" s="35"/>
      <c r="AD10" s="35"/>
      <c r="AE10" s="35"/>
      <c r="AF10" s="35"/>
      <c r="AG10" s="35"/>
    </row>
    <row r="11" spans="1:33" ht="21.75" customHeight="1">
      <c r="A11" s="32"/>
      <c r="B11" s="41" t="s">
        <v>234</v>
      </c>
      <c r="C11" s="146" t="s">
        <v>220</v>
      </c>
      <c r="D11" s="46">
        <v>7</v>
      </c>
      <c r="E11" s="71" t="s">
        <v>8</v>
      </c>
      <c r="F11" s="14" t="s">
        <v>8</v>
      </c>
      <c r="G11" s="13">
        <v>5</v>
      </c>
      <c r="H11" s="12">
        <v>6</v>
      </c>
      <c r="I11" s="12">
        <v>7</v>
      </c>
      <c r="J11" s="185">
        <v>5</v>
      </c>
      <c r="K11" s="185">
        <v>1</v>
      </c>
      <c r="L11" s="185">
        <v>1</v>
      </c>
      <c r="M11" s="228">
        <f>242700*G11</f>
        <v>1213500</v>
      </c>
      <c r="N11" s="77">
        <f>242700+(8580*5)</f>
        <v>285600</v>
      </c>
      <c r="O11" s="78">
        <f>242700+(8580*5)+8580</f>
        <v>294180</v>
      </c>
      <c r="P11" s="78">
        <f>M11</f>
        <v>1213500</v>
      </c>
      <c r="Q11" s="76">
        <f>P11+N11</f>
        <v>1499100</v>
      </c>
      <c r="R11" s="79">
        <f>Q11+O11</f>
        <v>1793280</v>
      </c>
      <c r="S11" s="61"/>
      <c r="T11" s="33"/>
      <c r="U11" s="11"/>
      <c r="V11" s="11"/>
      <c r="W11" s="11"/>
      <c r="X11" s="34"/>
      <c r="Y11" s="11"/>
      <c r="Z11" s="11"/>
      <c r="AA11" s="11"/>
      <c r="AB11" s="34"/>
      <c r="AC11" s="34"/>
      <c r="AD11" s="34"/>
      <c r="AE11" s="34"/>
      <c r="AF11" s="34"/>
      <c r="AG11" s="35"/>
    </row>
    <row r="12" spans="1:33" ht="21.75" customHeight="1">
      <c r="A12" s="32"/>
      <c r="B12" s="41" t="s">
        <v>245</v>
      </c>
      <c r="C12" s="146" t="s">
        <v>220</v>
      </c>
      <c r="D12" s="46">
        <v>1</v>
      </c>
      <c r="E12" s="71" t="s">
        <v>8</v>
      </c>
      <c r="F12" s="14" t="s">
        <v>8</v>
      </c>
      <c r="G12" s="13">
        <v>1</v>
      </c>
      <c r="H12" s="12">
        <v>1</v>
      </c>
      <c r="I12" s="12">
        <v>1</v>
      </c>
      <c r="J12" s="185">
        <v>1</v>
      </c>
      <c r="K12" s="185" t="s">
        <v>8</v>
      </c>
      <c r="L12" s="185" t="s">
        <v>8</v>
      </c>
      <c r="M12" s="228">
        <v>242700</v>
      </c>
      <c r="N12" s="77">
        <v>8580</v>
      </c>
      <c r="O12" s="78">
        <v>8580</v>
      </c>
      <c r="P12" s="78">
        <f>M12</f>
        <v>242700</v>
      </c>
      <c r="Q12" s="76">
        <f>P12+N12</f>
        <v>251280</v>
      </c>
      <c r="R12" s="79">
        <f>Q12+O12</f>
        <v>259860</v>
      </c>
      <c r="S12" s="61"/>
      <c r="T12" s="33"/>
      <c r="U12" s="11"/>
      <c r="V12" s="11"/>
      <c r="W12" s="11"/>
      <c r="X12" s="34"/>
      <c r="Y12" s="11"/>
      <c r="Z12" s="11"/>
      <c r="AA12" s="11"/>
      <c r="AB12" s="34"/>
      <c r="AC12" s="34"/>
      <c r="AD12" s="34"/>
      <c r="AE12" s="34"/>
      <c r="AF12" s="34"/>
      <c r="AG12" s="35"/>
    </row>
    <row r="13" spans="1:33" ht="21.75" customHeight="1">
      <c r="A13" s="32"/>
      <c r="B13" s="41" t="s">
        <v>244</v>
      </c>
      <c r="C13" s="52" t="s">
        <v>217</v>
      </c>
      <c r="D13" s="46">
        <v>1</v>
      </c>
      <c r="E13" s="71" t="s">
        <v>8</v>
      </c>
      <c r="F13" s="14" t="s">
        <v>8</v>
      </c>
      <c r="G13" s="13" t="s">
        <v>8</v>
      </c>
      <c r="H13" s="12">
        <v>1</v>
      </c>
      <c r="I13" s="12">
        <v>1</v>
      </c>
      <c r="J13" s="12" t="s">
        <v>8</v>
      </c>
      <c r="K13" s="185">
        <v>1</v>
      </c>
      <c r="L13" s="12" t="s">
        <v>8</v>
      </c>
      <c r="M13" s="14" t="s">
        <v>8</v>
      </c>
      <c r="N13" s="15">
        <v>233820</v>
      </c>
      <c r="O13" s="26">
        <v>7080</v>
      </c>
      <c r="P13" s="26" t="s">
        <v>8</v>
      </c>
      <c r="Q13" s="14">
        <f>N13</f>
        <v>233820</v>
      </c>
      <c r="R13" s="27">
        <f>Q13+O13</f>
        <v>240900</v>
      </c>
      <c r="S13" s="61"/>
      <c r="T13" s="33"/>
      <c r="U13" s="11"/>
      <c r="V13" s="11"/>
      <c r="W13" s="11"/>
      <c r="X13" s="34"/>
      <c r="Y13" s="11"/>
      <c r="Z13" s="11"/>
      <c r="AA13" s="11"/>
      <c r="AB13" s="35"/>
      <c r="AC13" s="35"/>
      <c r="AD13" s="35"/>
      <c r="AE13" s="35"/>
      <c r="AF13" s="35"/>
      <c r="AG13" s="35"/>
    </row>
    <row r="14" spans="1:33" ht="21.75" customHeight="1">
      <c r="A14" s="32"/>
      <c r="B14" s="41" t="s">
        <v>218</v>
      </c>
      <c r="C14" s="52" t="s">
        <v>217</v>
      </c>
      <c r="D14" s="46">
        <v>1</v>
      </c>
      <c r="E14" s="71" t="s">
        <v>8</v>
      </c>
      <c r="F14" s="14" t="s">
        <v>8</v>
      </c>
      <c r="G14" s="13">
        <v>1</v>
      </c>
      <c r="H14" s="12">
        <v>1</v>
      </c>
      <c r="I14" s="12">
        <v>1</v>
      </c>
      <c r="J14" s="185">
        <v>1</v>
      </c>
      <c r="K14" s="185" t="s">
        <v>8</v>
      </c>
      <c r="L14" s="12" t="s">
        <v>8</v>
      </c>
      <c r="M14" s="14">
        <v>233820</v>
      </c>
      <c r="N14" s="15">
        <f>7080</f>
        <v>7080</v>
      </c>
      <c r="O14" s="26">
        <v>7080</v>
      </c>
      <c r="P14" s="26">
        <f>M14</f>
        <v>233820</v>
      </c>
      <c r="Q14" s="14">
        <f>P14+N14</f>
        <v>240900</v>
      </c>
      <c r="R14" s="27">
        <f>Q14+O14</f>
        <v>247980</v>
      </c>
      <c r="S14" s="61"/>
      <c r="T14" s="33"/>
      <c r="U14" s="11"/>
      <c r="V14" s="11"/>
      <c r="W14" s="11"/>
      <c r="X14" s="34"/>
      <c r="Y14" s="11"/>
      <c r="Z14" s="11"/>
      <c r="AA14" s="11"/>
      <c r="AB14" s="35"/>
      <c r="AC14" s="35"/>
      <c r="AD14" s="35"/>
      <c r="AE14" s="35"/>
      <c r="AF14" s="35"/>
      <c r="AG14" s="35"/>
    </row>
    <row r="15" spans="1:33" ht="21.75" customHeight="1">
      <c r="A15" s="32"/>
      <c r="B15" s="144" t="s">
        <v>68</v>
      </c>
      <c r="C15" s="52"/>
      <c r="D15" s="46"/>
      <c r="E15" s="71"/>
      <c r="F15" s="14"/>
      <c r="G15" s="13"/>
      <c r="H15" s="12"/>
      <c r="I15" s="12"/>
      <c r="J15" s="68"/>
      <c r="K15" s="12"/>
      <c r="L15" s="12"/>
      <c r="M15" s="14"/>
      <c r="N15" s="15"/>
      <c r="O15" s="26"/>
      <c r="P15" s="26"/>
      <c r="Q15" s="14"/>
      <c r="R15" s="27"/>
      <c r="S15" s="61"/>
      <c r="T15" s="33"/>
      <c r="U15" s="16"/>
      <c r="V15" s="11"/>
      <c r="W15" s="11"/>
      <c r="X15" s="34"/>
      <c r="Y15" s="11"/>
      <c r="Z15" s="11"/>
      <c r="AA15" s="11"/>
      <c r="AB15" s="34"/>
      <c r="AC15" s="34"/>
      <c r="AD15" s="35"/>
      <c r="AE15" s="34"/>
      <c r="AF15" s="34"/>
      <c r="AG15" s="34"/>
    </row>
    <row r="16" spans="1:33" ht="21.75" customHeight="1">
      <c r="A16" s="32"/>
      <c r="B16" s="41" t="s">
        <v>69</v>
      </c>
      <c r="C16" s="52" t="s">
        <v>70</v>
      </c>
      <c r="D16" s="46">
        <v>2</v>
      </c>
      <c r="E16" s="71">
        <v>2</v>
      </c>
      <c r="F16" s="170">
        <v>562560</v>
      </c>
      <c r="G16" s="171">
        <v>2</v>
      </c>
      <c r="H16" s="172">
        <v>2</v>
      </c>
      <c r="I16" s="172">
        <v>2</v>
      </c>
      <c r="J16" s="181"/>
      <c r="K16" s="172"/>
      <c r="L16" s="172"/>
      <c r="M16" s="170">
        <v>23880</v>
      </c>
      <c r="N16" s="173">
        <v>24600</v>
      </c>
      <c r="O16" s="174">
        <v>24720</v>
      </c>
      <c r="P16" s="174">
        <v>586440</v>
      </c>
      <c r="Q16" s="170">
        <v>611040</v>
      </c>
      <c r="R16" s="175">
        <v>635760</v>
      </c>
      <c r="S16" s="61"/>
      <c r="T16" s="33"/>
      <c r="U16" s="16"/>
      <c r="V16" s="11"/>
      <c r="W16" s="11"/>
      <c r="X16" s="34"/>
      <c r="Y16" s="11"/>
      <c r="Z16" s="11"/>
      <c r="AA16" s="11"/>
      <c r="AB16" s="34"/>
      <c r="AC16" s="34"/>
      <c r="AD16" s="34"/>
      <c r="AE16" s="34"/>
      <c r="AF16" s="34"/>
      <c r="AG16" s="34"/>
    </row>
    <row r="17" spans="1:33" s="153" customFormat="1" ht="21.75" customHeight="1">
      <c r="A17" s="177"/>
      <c r="B17" s="157" t="s">
        <v>202</v>
      </c>
      <c r="C17" s="149"/>
      <c r="D17" s="158"/>
      <c r="E17" s="154"/>
      <c r="F17" s="150">
        <f>24930*12</f>
        <v>299160</v>
      </c>
      <c r="G17" s="159"/>
      <c r="H17" s="156"/>
      <c r="I17" s="156"/>
      <c r="J17" s="167"/>
      <c r="K17" s="156"/>
      <c r="L17" s="156"/>
      <c r="M17" s="150">
        <f>(25930-24930)*12</f>
        <v>12000</v>
      </c>
      <c r="N17" s="150">
        <f>(26980-25930)*12</f>
        <v>12600</v>
      </c>
      <c r="O17" s="150">
        <f>(28050-26980)*12</f>
        <v>12840</v>
      </c>
      <c r="P17" s="160">
        <f>F17+M17</f>
        <v>311160</v>
      </c>
      <c r="Q17" s="150">
        <f>P17+N17</f>
        <v>323760</v>
      </c>
      <c r="R17" s="161">
        <f>Q17+O17</f>
        <v>336600</v>
      </c>
      <c r="S17" s="152"/>
      <c r="T17" s="178"/>
      <c r="U17" s="179"/>
      <c r="V17" s="166"/>
      <c r="W17" s="166"/>
      <c r="X17" s="180"/>
      <c r="Y17" s="166"/>
      <c r="Z17" s="166"/>
      <c r="AA17" s="166"/>
      <c r="AB17" s="180"/>
      <c r="AC17" s="180"/>
      <c r="AD17" s="180"/>
      <c r="AE17" s="180"/>
      <c r="AF17" s="180"/>
      <c r="AG17" s="180"/>
    </row>
    <row r="18" spans="1:33" s="153" customFormat="1" ht="21.75" customHeight="1">
      <c r="A18" s="177"/>
      <c r="B18" s="157" t="s">
        <v>203</v>
      </c>
      <c r="C18" s="149"/>
      <c r="D18" s="158"/>
      <c r="E18" s="154"/>
      <c r="F18" s="150">
        <f>21950*12</f>
        <v>263400</v>
      </c>
      <c r="G18" s="159"/>
      <c r="H18" s="156"/>
      <c r="I18" s="156"/>
      <c r="J18" s="167"/>
      <c r="K18" s="156"/>
      <c r="L18" s="156"/>
      <c r="M18" s="150">
        <f>(22940-21950)*12</f>
        <v>11880</v>
      </c>
      <c r="N18" s="150">
        <f>(23940-22940)*12</f>
        <v>12000</v>
      </c>
      <c r="O18" s="150">
        <f>(24930-23940)*12</f>
        <v>11880</v>
      </c>
      <c r="P18" s="160">
        <f>F18+M18</f>
        <v>275280</v>
      </c>
      <c r="Q18" s="150">
        <f>P18+N18</f>
        <v>287280</v>
      </c>
      <c r="R18" s="161">
        <f>Q18+O18</f>
        <v>299160</v>
      </c>
      <c r="S18" s="152"/>
      <c r="T18" s="178"/>
      <c r="U18" s="179"/>
      <c r="V18" s="166"/>
      <c r="W18" s="166"/>
      <c r="X18" s="180"/>
      <c r="Y18" s="166"/>
      <c r="Z18" s="166"/>
      <c r="AA18" s="166"/>
      <c r="AB18" s="180"/>
      <c r="AC18" s="180"/>
      <c r="AD18" s="180"/>
      <c r="AE18" s="180"/>
      <c r="AF18" s="180"/>
      <c r="AG18" s="180"/>
    </row>
    <row r="19" spans="1:33" ht="21.75" customHeight="1">
      <c r="A19" s="32"/>
      <c r="B19" s="41" t="s">
        <v>71</v>
      </c>
      <c r="C19" s="55" t="s">
        <v>72</v>
      </c>
      <c r="D19" s="46">
        <v>11</v>
      </c>
      <c r="E19" s="71">
        <v>11</v>
      </c>
      <c r="F19" s="170">
        <v>2417400</v>
      </c>
      <c r="G19" s="171">
        <v>11</v>
      </c>
      <c r="H19" s="172">
        <v>11</v>
      </c>
      <c r="I19" s="172">
        <v>11</v>
      </c>
      <c r="J19" s="172" t="s">
        <v>8</v>
      </c>
      <c r="K19" s="172" t="s">
        <v>8</v>
      </c>
      <c r="L19" s="172" t="s">
        <v>8</v>
      </c>
      <c r="M19" s="170">
        <v>108600</v>
      </c>
      <c r="N19" s="173">
        <v>108000</v>
      </c>
      <c r="O19" s="174">
        <v>108600</v>
      </c>
      <c r="P19" s="174">
        <v>2526000</v>
      </c>
      <c r="Q19" s="170">
        <v>2634000</v>
      </c>
      <c r="R19" s="175">
        <v>2742600</v>
      </c>
      <c r="S19" s="61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1:33" s="153" customFormat="1" ht="21.75" customHeight="1">
      <c r="A20" s="177"/>
      <c r="B20" s="157" t="s">
        <v>204</v>
      </c>
      <c r="C20" s="149"/>
      <c r="D20" s="158"/>
      <c r="E20" s="154"/>
      <c r="F20" s="150">
        <f>18270*12</f>
        <v>219240</v>
      </c>
      <c r="G20" s="159"/>
      <c r="H20" s="156"/>
      <c r="I20" s="156"/>
      <c r="J20" s="167"/>
      <c r="K20" s="156"/>
      <c r="L20" s="156"/>
      <c r="M20" s="150">
        <f>(19100-18270)*12</f>
        <v>9960</v>
      </c>
      <c r="N20" s="150">
        <f>(19920-19100)*12</f>
        <v>9840</v>
      </c>
      <c r="O20" s="150">
        <f>(20740-19920)*12</f>
        <v>9840</v>
      </c>
      <c r="P20" s="160">
        <f t="shared" ref="P20:P30" si="1">F20+M20</f>
        <v>229200</v>
      </c>
      <c r="Q20" s="150">
        <f t="shared" ref="Q20:R30" si="2">P20+N20</f>
        <v>239040</v>
      </c>
      <c r="R20" s="161">
        <f t="shared" si="2"/>
        <v>248880</v>
      </c>
      <c r="S20" s="152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</row>
    <row r="21" spans="1:33" s="153" customFormat="1" ht="21.75" customHeight="1">
      <c r="A21" s="177"/>
      <c r="B21" s="157" t="s">
        <v>205</v>
      </c>
      <c r="C21" s="149"/>
      <c r="D21" s="158"/>
      <c r="E21" s="154"/>
      <c r="F21" s="150">
        <f>18270*12</f>
        <v>219240</v>
      </c>
      <c r="G21" s="159"/>
      <c r="H21" s="156"/>
      <c r="I21" s="156"/>
      <c r="J21" s="167"/>
      <c r="K21" s="156"/>
      <c r="L21" s="156"/>
      <c r="M21" s="150">
        <f>(19100-18270)*12</f>
        <v>9960</v>
      </c>
      <c r="N21" s="150">
        <f>(19920-19100)*12</f>
        <v>9840</v>
      </c>
      <c r="O21" s="150">
        <f>(20740-19920)*12</f>
        <v>9840</v>
      </c>
      <c r="P21" s="160">
        <f t="shared" si="1"/>
        <v>229200</v>
      </c>
      <c r="Q21" s="150">
        <f t="shared" si="2"/>
        <v>239040</v>
      </c>
      <c r="R21" s="161">
        <f t="shared" si="2"/>
        <v>248880</v>
      </c>
      <c r="S21" s="152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</row>
    <row r="22" spans="1:33" s="153" customFormat="1" ht="21.75" customHeight="1">
      <c r="A22" s="177"/>
      <c r="B22" s="157" t="s">
        <v>206</v>
      </c>
      <c r="C22" s="149"/>
      <c r="D22" s="158"/>
      <c r="E22" s="154"/>
      <c r="F22" s="150">
        <f>18690*12</f>
        <v>224280</v>
      </c>
      <c r="G22" s="159"/>
      <c r="H22" s="156"/>
      <c r="I22" s="156"/>
      <c r="J22" s="167"/>
      <c r="K22" s="156"/>
      <c r="L22" s="156"/>
      <c r="M22" s="150">
        <f>(19510-18690)*12</f>
        <v>9840</v>
      </c>
      <c r="N22" s="150">
        <f>(20320-19510)*12</f>
        <v>9720</v>
      </c>
      <c r="O22" s="150">
        <f>(21150-20320)*12</f>
        <v>9960</v>
      </c>
      <c r="P22" s="160">
        <f t="shared" si="1"/>
        <v>234120</v>
      </c>
      <c r="Q22" s="150">
        <f t="shared" si="2"/>
        <v>243840</v>
      </c>
      <c r="R22" s="161">
        <f t="shared" si="2"/>
        <v>253800</v>
      </c>
      <c r="S22" s="152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</row>
    <row r="23" spans="1:33" s="153" customFormat="1" ht="21.75" customHeight="1">
      <c r="A23" s="177"/>
      <c r="B23" s="157" t="s">
        <v>207</v>
      </c>
      <c r="C23" s="149"/>
      <c r="D23" s="158"/>
      <c r="E23" s="154"/>
      <c r="F23" s="150">
        <f>18270*12</f>
        <v>219240</v>
      </c>
      <c r="G23" s="159"/>
      <c r="H23" s="156"/>
      <c r="I23" s="156"/>
      <c r="J23" s="167"/>
      <c r="K23" s="156"/>
      <c r="L23" s="156"/>
      <c r="M23" s="150">
        <f>(19100-18270)*12</f>
        <v>9960</v>
      </c>
      <c r="N23" s="150">
        <f>(19920-19100)*12</f>
        <v>9840</v>
      </c>
      <c r="O23" s="150">
        <f>(20740-19920)*12</f>
        <v>9840</v>
      </c>
      <c r="P23" s="160">
        <f t="shared" si="1"/>
        <v>229200</v>
      </c>
      <c r="Q23" s="150">
        <f t="shared" si="2"/>
        <v>239040</v>
      </c>
      <c r="R23" s="161">
        <f t="shared" si="2"/>
        <v>248880</v>
      </c>
      <c r="S23" s="152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</row>
    <row r="24" spans="1:33" s="153" customFormat="1" ht="21.75" customHeight="1">
      <c r="A24" s="177"/>
      <c r="B24" s="157" t="s">
        <v>208</v>
      </c>
      <c r="C24" s="149"/>
      <c r="D24" s="158"/>
      <c r="E24" s="154"/>
      <c r="F24" s="150">
        <f>18690*12</f>
        <v>224280</v>
      </c>
      <c r="G24" s="159"/>
      <c r="H24" s="156"/>
      <c r="I24" s="156"/>
      <c r="J24" s="167"/>
      <c r="K24" s="156"/>
      <c r="L24" s="156"/>
      <c r="M24" s="150">
        <f>(19510-18690)*12</f>
        <v>9840</v>
      </c>
      <c r="N24" s="150">
        <f>(20320-19510)*12</f>
        <v>9720</v>
      </c>
      <c r="O24" s="150">
        <f>(21150-20320)*12</f>
        <v>9960</v>
      </c>
      <c r="P24" s="160">
        <f t="shared" si="1"/>
        <v>234120</v>
      </c>
      <c r="Q24" s="150">
        <f t="shared" si="2"/>
        <v>243840</v>
      </c>
      <c r="R24" s="161">
        <f t="shared" si="2"/>
        <v>253800</v>
      </c>
      <c r="S24" s="152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</row>
    <row r="25" spans="1:33" s="153" customFormat="1" ht="21.75" customHeight="1">
      <c r="A25" s="177"/>
      <c r="B25" s="157" t="s">
        <v>209</v>
      </c>
      <c r="C25" s="149"/>
      <c r="D25" s="158"/>
      <c r="E25" s="154"/>
      <c r="F25" s="150">
        <f>18270*12</f>
        <v>219240</v>
      </c>
      <c r="G25" s="159"/>
      <c r="H25" s="156"/>
      <c r="I25" s="156"/>
      <c r="J25" s="167"/>
      <c r="K25" s="156"/>
      <c r="L25" s="156"/>
      <c r="M25" s="150">
        <f>(19100-18270)*12</f>
        <v>9960</v>
      </c>
      <c r="N25" s="150">
        <f>(19920-19100)*12</f>
        <v>9840</v>
      </c>
      <c r="O25" s="150">
        <f>(20740-19920)*12</f>
        <v>9840</v>
      </c>
      <c r="P25" s="160">
        <f t="shared" si="1"/>
        <v>229200</v>
      </c>
      <c r="Q25" s="150">
        <f t="shared" si="2"/>
        <v>239040</v>
      </c>
      <c r="R25" s="161">
        <f t="shared" si="2"/>
        <v>248880</v>
      </c>
      <c r="S25" s="152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</row>
    <row r="26" spans="1:33" s="153" customFormat="1" ht="21.75" customHeight="1">
      <c r="A26" s="177"/>
      <c r="B26" s="157" t="s">
        <v>210</v>
      </c>
      <c r="C26" s="149"/>
      <c r="D26" s="158"/>
      <c r="E26" s="154"/>
      <c r="F26" s="150">
        <f>18270*12</f>
        <v>219240</v>
      </c>
      <c r="G26" s="159"/>
      <c r="H26" s="156"/>
      <c r="I26" s="156"/>
      <c r="J26" s="167"/>
      <c r="K26" s="156"/>
      <c r="L26" s="156"/>
      <c r="M26" s="150">
        <f>(19100-18270)*12</f>
        <v>9960</v>
      </c>
      <c r="N26" s="150">
        <f>(19920-19100)*12</f>
        <v>9840</v>
      </c>
      <c r="O26" s="150">
        <f>(20740-19920)*12</f>
        <v>9840</v>
      </c>
      <c r="P26" s="160">
        <f t="shared" si="1"/>
        <v>229200</v>
      </c>
      <c r="Q26" s="150">
        <f t="shared" si="2"/>
        <v>239040</v>
      </c>
      <c r="R26" s="161">
        <f t="shared" si="2"/>
        <v>248880</v>
      </c>
      <c r="S26" s="152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</row>
    <row r="27" spans="1:33" s="153" customFormat="1" ht="21.75" customHeight="1">
      <c r="A27" s="177"/>
      <c r="B27" s="157" t="s">
        <v>211</v>
      </c>
      <c r="C27" s="149"/>
      <c r="D27" s="158"/>
      <c r="E27" s="154"/>
      <c r="F27" s="150">
        <f>18690*12</f>
        <v>224280</v>
      </c>
      <c r="G27" s="159"/>
      <c r="H27" s="156"/>
      <c r="I27" s="156"/>
      <c r="J27" s="167"/>
      <c r="K27" s="156"/>
      <c r="L27" s="156"/>
      <c r="M27" s="150">
        <f>(19510-18690)*12</f>
        <v>9840</v>
      </c>
      <c r="N27" s="150">
        <f>(20320-19510)*12</f>
        <v>9720</v>
      </c>
      <c r="O27" s="150">
        <f>(21150-20320)*12</f>
        <v>9960</v>
      </c>
      <c r="P27" s="160">
        <f t="shared" si="1"/>
        <v>234120</v>
      </c>
      <c r="Q27" s="150">
        <f t="shared" si="2"/>
        <v>243840</v>
      </c>
      <c r="R27" s="161">
        <f t="shared" si="2"/>
        <v>253800</v>
      </c>
      <c r="S27" s="152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</row>
    <row r="28" spans="1:33" s="153" customFormat="1" ht="21.75" customHeight="1">
      <c r="A28" s="177"/>
      <c r="B28" s="157" t="s">
        <v>212</v>
      </c>
      <c r="C28" s="149"/>
      <c r="D28" s="158"/>
      <c r="E28" s="154"/>
      <c r="F28" s="150">
        <f>18270*12</f>
        <v>219240</v>
      </c>
      <c r="G28" s="159"/>
      <c r="H28" s="156"/>
      <c r="I28" s="156"/>
      <c r="J28" s="167"/>
      <c r="K28" s="156"/>
      <c r="L28" s="156"/>
      <c r="M28" s="150">
        <f>(19100-18270)*12</f>
        <v>9960</v>
      </c>
      <c r="N28" s="150">
        <f>(19920-19100)*12</f>
        <v>9840</v>
      </c>
      <c r="O28" s="150">
        <f>(20740-19920)*12</f>
        <v>9840</v>
      </c>
      <c r="P28" s="160">
        <f t="shared" si="1"/>
        <v>229200</v>
      </c>
      <c r="Q28" s="150">
        <f t="shared" si="2"/>
        <v>239040</v>
      </c>
      <c r="R28" s="161">
        <f t="shared" si="2"/>
        <v>248880</v>
      </c>
      <c r="S28" s="152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</row>
    <row r="29" spans="1:33" s="153" customFormat="1" ht="21.75" customHeight="1">
      <c r="A29" s="177"/>
      <c r="B29" s="157" t="s">
        <v>213</v>
      </c>
      <c r="C29" s="149"/>
      <c r="D29" s="158"/>
      <c r="E29" s="154"/>
      <c r="F29" s="150">
        <f>17490*12</f>
        <v>209880</v>
      </c>
      <c r="G29" s="159"/>
      <c r="H29" s="156"/>
      <c r="I29" s="156"/>
      <c r="J29" s="167"/>
      <c r="K29" s="156"/>
      <c r="L29" s="156"/>
      <c r="M29" s="150">
        <f>(18270-17490)*12</f>
        <v>9360</v>
      </c>
      <c r="N29" s="150">
        <f>(19100-18270)*12</f>
        <v>9960</v>
      </c>
      <c r="O29" s="150">
        <f>(19920-19100)*12</f>
        <v>9840</v>
      </c>
      <c r="P29" s="160">
        <f t="shared" si="1"/>
        <v>219240</v>
      </c>
      <c r="Q29" s="150">
        <f t="shared" si="2"/>
        <v>229200</v>
      </c>
      <c r="R29" s="161">
        <f t="shared" si="2"/>
        <v>239040</v>
      </c>
      <c r="S29" s="152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</row>
    <row r="30" spans="1:33" s="153" customFormat="1" ht="21.75" customHeight="1">
      <c r="A30" s="177"/>
      <c r="B30" s="157" t="s">
        <v>214</v>
      </c>
      <c r="C30" s="149"/>
      <c r="D30" s="158"/>
      <c r="E30" s="154"/>
      <c r="F30" s="150">
        <f>18270*12</f>
        <v>219240</v>
      </c>
      <c r="G30" s="159"/>
      <c r="H30" s="156"/>
      <c r="I30" s="156"/>
      <c r="J30" s="167"/>
      <c r="K30" s="156"/>
      <c r="L30" s="156"/>
      <c r="M30" s="150">
        <f>(19100-18270)*12</f>
        <v>9960</v>
      </c>
      <c r="N30" s="150">
        <f>(19920-19100)*12</f>
        <v>9840</v>
      </c>
      <c r="O30" s="150">
        <f>(20740-19920)*12</f>
        <v>9840</v>
      </c>
      <c r="P30" s="160">
        <f t="shared" si="1"/>
        <v>229200</v>
      </c>
      <c r="Q30" s="150">
        <f t="shared" si="2"/>
        <v>239040</v>
      </c>
      <c r="R30" s="161">
        <f t="shared" si="2"/>
        <v>248880</v>
      </c>
      <c r="S30" s="152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</row>
    <row r="31" spans="1:33" ht="21.75" customHeight="1">
      <c r="A31" s="10"/>
      <c r="B31" s="41" t="s">
        <v>73</v>
      </c>
      <c r="C31" s="52" t="s">
        <v>8</v>
      </c>
      <c r="D31" s="46">
        <v>6</v>
      </c>
      <c r="E31" s="71">
        <v>6</v>
      </c>
      <c r="F31" s="170">
        <v>1305240</v>
      </c>
      <c r="G31" s="171">
        <v>6</v>
      </c>
      <c r="H31" s="172">
        <v>6</v>
      </c>
      <c r="I31" s="172">
        <v>6</v>
      </c>
      <c r="J31" s="172"/>
      <c r="K31" s="172"/>
      <c r="L31" s="172"/>
      <c r="M31" s="170">
        <v>61920</v>
      </c>
      <c r="N31" s="173">
        <v>59880</v>
      </c>
      <c r="O31" s="174">
        <v>63120</v>
      </c>
      <c r="P31" s="174">
        <f>F31+M31</f>
        <v>1367160</v>
      </c>
      <c r="Q31" s="170">
        <f>P31+N31</f>
        <v>1427040</v>
      </c>
      <c r="R31" s="175">
        <f>Q31+O31</f>
        <v>1490160</v>
      </c>
      <c r="S31" s="61"/>
      <c r="T31" s="85" t="s">
        <v>51</v>
      </c>
    </row>
    <row r="32" spans="1:33" s="153" customFormat="1" ht="21.75" customHeight="1">
      <c r="A32" s="148"/>
      <c r="B32" s="157" t="s">
        <v>196</v>
      </c>
      <c r="C32" s="149"/>
      <c r="D32" s="158"/>
      <c r="E32" s="154"/>
      <c r="F32" s="150">
        <f>15430*12</f>
        <v>185160</v>
      </c>
      <c r="G32" s="159"/>
      <c r="H32" s="156"/>
      <c r="I32" s="156"/>
      <c r="J32" s="156"/>
      <c r="K32" s="156"/>
      <c r="L32" s="156"/>
      <c r="M32" s="150">
        <f>(16190-15430)*12</f>
        <v>9120</v>
      </c>
      <c r="N32" s="150">
        <f>(16920-16190)*12</f>
        <v>8760</v>
      </c>
      <c r="O32" s="150">
        <f>(17690-16920)*12</f>
        <v>9240</v>
      </c>
      <c r="P32" s="160">
        <f t="shared" ref="P32:P37" si="3">F32+M32</f>
        <v>194280</v>
      </c>
      <c r="Q32" s="150">
        <f t="shared" ref="Q32:R37" si="4">P32+N32</f>
        <v>203040</v>
      </c>
      <c r="R32" s="161">
        <f t="shared" si="4"/>
        <v>212280</v>
      </c>
      <c r="S32" s="152"/>
      <c r="T32" s="176"/>
    </row>
    <row r="33" spans="1:20" s="153" customFormat="1" ht="21.75" customHeight="1">
      <c r="A33" s="148"/>
      <c r="B33" s="157" t="s">
        <v>197</v>
      </c>
      <c r="C33" s="149"/>
      <c r="D33" s="158"/>
      <c r="E33" s="154"/>
      <c r="F33" s="150">
        <f>15430*12</f>
        <v>185160</v>
      </c>
      <c r="G33" s="159"/>
      <c r="H33" s="156"/>
      <c r="I33" s="156"/>
      <c r="J33" s="156"/>
      <c r="K33" s="156"/>
      <c r="L33" s="156"/>
      <c r="M33" s="150">
        <f>(16190-15430)*12</f>
        <v>9120</v>
      </c>
      <c r="N33" s="150">
        <f>(16920-16190)*12</f>
        <v>8760</v>
      </c>
      <c r="O33" s="150">
        <f>(17690-16920)*12</f>
        <v>9240</v>
      </c>
      <c r="P33" s="160">
        <f t="shared" si="3"/>
        <v>194280</v>
      </c>
      <c r="Q33" s="150">
        <f t="shared" si="4"/>
        <v>203040</v>
      </c>
      <c r="R33" s="161">
        <f t="shared" si="4"/>
        <v>212280</v>
      </c>
      <c r="S33" s="152"/>
      <c r="T33" s="176"/>
    </row>
    <row r="34" spans="1:20" s="153" customFormat="1" ht="21.75" customHeight="1">
      <c r="A34" s="148"/>
      <c r="B34" s="157" t="s">
        <v>198</v>
      </c>
      <c r="C34" s="149"/>
      <c r="D34" s="158"/>
      <c r="E34" s="154"/>
      <c r="F34" s="150">
        <f>15430*12</f>
        <v>185160</v>
      </c>
      <c r="G34" s="159"/>
      <c r="H34" s="156"/>
      <c r="I34" s="156"/>
      <c r="J34" s="156"/>
      <c r="K34" s="156"/>
      <c r="L34" s="156"/>
      <c r="M34" s="150">
        <f>(16190-15430)*12</f>
        <v>9120</v>
      </c>
      <c r="N34" s="150">
        <f>(16920-16190)*12</f>
        <v>8760</v>
      </c>
      <c r="O34" s="150">
        <f>(17690-16920)*12</f>
        <v>9240</v>
      </c>
      <c r="P34" s="160">
        <f t="shared" si="3"/>
        <v>194280</v>
      </c>
      <c r="Q34" s="150">
        <f t="shared" si="4"/>
        <v>203040</v>
      </c>
      <c r="R34" s="161">
        <f t="shared" si="4"/>
        <v>212280</v>
      </c>
      <c r="S34" s="152"/>
      <c r="T34" s="176"/>
    </row>
    <row r="35" spans="1:20" s="153" customFormat="1" ht="21.75" customHeight="1">
      <c r="A35" s="148"/>
      <c r="B35" s="157" t="s">
        <v>199</v>
      </c>
      <c r="C35" s="149"/>
      <c r="D35" s="158"/>
      <c r="E35" s="154"/>
      <c r="F35" s="150">
        <f>16570*12</f>
        <v>198840</v>
      </c>
      <c r="G35" s="159"/>
      <c r="H35" s="156"/>
      <c r="I35" s="156"/>
      <c r="J35" s="156"/>
      <c r="K35" s="156"/>
      <c r="L35" s="156"/>
      <c r="M35" s="150">
        <f>(17310-16570)*12</f>
        <v>8880</v>
      </c>
      <c r="N35" s="150">
        <f>(17910-17310)*12</f>
        <v>7200</v>
      </c>
      <c r="O35" s="150">
        <f>(18690-17910)*12</f>
        <v>9360</v>
      </c>
      <c r="P35" s="160">
        <f t="shared" si="3"/>
        <v>207720</v>
      </c>
      <c r="Q35" s="150">
        <f t="shared" si="4"/>
        <v>214920</v>
      </c>
      <c r="R35" s="161">
        <f t="shared" si="4"/>
        <v>224280</v>
      </c>
      <c r="S35" s="152"/>
      <c r="T35" s="176"/>
    </row>
    <row r="36" spans="1:20" s="153" customFormat="1" ht="21.75" customHeight="1">
      <c r="A36" s="148"/>
      <c r="B36" s="157" t="s">
        <v>193</v>
      </c>
      <c r="C36" s="149"/>
      <c r="D36" s="158"/>
      <c r="E36" s="154"/>
      <c r="F36" s="150">
        <f>15050*12</f>
        <v>180600</v>
      </c>
      <c r="G36" s="159"/>
      <c r="H36" s="156"/>
      <c r="I36" s="156"/>
      <c r="J36" s="156"/>
      <c r="K36" s="156"/>
      <c r="L36" s="156"/>
      <c r="M36" s="150">
        <f>(15800-15050)*12</f>
        <v>9000</v>
      </c>
      <c r="N36" s="150">
        <f>(16570-15800)*12</f>
        <v>9240</v>
      </c>
      <c r="O36" s="150">
        <f>(17310-16570)*12</f>
        <v>8880</v>
      </c>
      <c r="P36" s="160">
        <f t="shared" si="3"/>
        <v>189600</v>
      </c>
      <c r="Q36" s="150">
        <f t="shared" si="4"/>
        <v>198840</v>
      </c>
      <c r="R36" s="161">
        <f t="shared" si="4"/>
        <v>207720</v>
      </c>
      <c r="S36" s="152"/>
      <c r="T36" s="176"/>
    </row>
    <row r="37" spans="1:20" s="153" customFormat="1" ht="21.75" customHeight="1">
      <c r="A37" s="148"/>
      <c r="B37" s="157" t="s">
        <v>153</v>
      </c>
      <c r="C37" s="149"/>
      <c r="D37" s="158"/>
      <c r="E37" s="154"/>
      <c r="F37" s="150">
        <f>15050*12</f>
        <v>180600</v>
      </c>
      <c r="G37" s="159"/>
      <c r="H37" s="156"/>
      <c r="I37" s="156"/>
      <c r="J37" s="156"/>
      <c r="K37" s="156"/>
      <c r="L37" s="156"/>
      <c r="M37" s="150">
        <f>(15800-15050)*12</f>
        <v>9000</v>
      </c>
      <c r="N37" s="150">
        <f>(16570-15800)*12</f>
        <v>9240</v>
      </c>
      <c r="O37" s="150">
        <f>(17310-16570)*12</f>
        <v>8880</v>
      </c>
      <c r="P37" s="160">
        <f t="shared" si="3"/>
        <v>189600</v>
      </c>
      <c r="Q37" s="150">
        <f t="shared" si="4"/>
        <v>198840</v>
      </c>
      <c r="R37" s="161">
        <f t="shared" si="4"/>
        <v>207720</v>
      </c>
      <c r="S37" s="152"/>
      <c r="T37" s="176"/>
    </row>
    <row r="38" spans="1:20" ht="21.75" customHeight="1">
      <c r="A38" s="10"/>
      <c r="B38" s="157" t="s">
        <v>151</v>
      </c>
      <c r="C38" s="149"/>
      <c r="D38" s="158"/>
      <c r="E38" s="158"/>
      <c r="F38" s="150">
        <f>15810*12</f>
        <v>189720</v>
      </c>
      <c r="G38" s="159"/>
      <c r="H38" s="156"/>
      <c r="I38" s="156"/>
      <c r="J38" s="156"/>
      <c r="K38" s="156"/>
      <c r="L38" s="156"/>
      <c r="M38" s="150">
        <f>640*12</f>
        <v>7680</v>
      </c>
      <c r="N38" s="151">
        <f>660*12</f>
        <v>7920</v>
      </c>
      <c r="O38" s="160">
        <f>690*12</f>
        <v>8280</v>
      </c>
      <c r="P38" s="160">
        <f>F38+M38</f>
        <v>197400</v>
      </c>
      <c r="Q38" s="150">
        <f t="shared" ref="Q38:R43" si="5">P38+N38</f>
        <v>205320</v>
      </c>
      <c r="R38" s="161">
        <f t="shared" si="5"/>
        <v>213600</v>
      </c>
      <c r="S38" s="152"/>
      <c r="T38" s="153"/>
    </row>
    <row r="39" spans="1:20" ht="21.75" customHeight="1">
      <c r="A39" s="10"/>
      <c r="B39" s="41" t="s">
        <v>74</v>
      </c>
      <c r="C39" s="52" t="s">
        <v>8</v>
      </c>
      <c r="D39" s="46">
        <v>2</v>
      </c>
      <c r="E39" s="71">
        <v>2</v>
      </c>
      <c r="F39" s="170">
        <v>719760</v>
      </c>
      <c r="G39" s="171">
        <v>2</v>
      </c>
      <c r="H39" s="172">
        <v>2</v>
      </c>
      <c r="I39" s="172">
        <v>2</v>
      </c>
      <c r="J39" s="172" t="s">
        <v>8</v>
      </c>
      <c r="K39" s="172" t="s">
        <v>8</v>
      </c>
      <c r="L39" s="172" t="s">
        <v>8</v>
      </c>
      <c r="M39" s="170">
        <v>30960</v>
      </c>
      <c r="N39" s="173">
        <v>27480</v>
      </c>
      <c r="O39" s="174">
        <v>32760</v>
      </c>
      <c r="P39" s="174">
        <f>M39+F39</f>
        <v>750720</v>
      </c>
      <c r="Q39" s="170">
        <f t="shared" si="5"/>
        <v>778200</v>
      </c>
      <c r="R39" s="175">
        <f t="shared" si="5"/>
        <v>810960</v>
      </c>
      <c r="S39" s="61"/>
    </row>
    <row r="40" spans="1:20" s="153" customFormat="1" ht="21.75" customHeight="1">
      <c r="A40" s="148"/>
      <c r="B40" s="157" t="s">
        <v>200</v>
      </c>
      <c r="C40" s="149"/>
      <c r="D40" s="158"/>
      <c r="E40" s="154"/>
      <c r="F40" s="150">
        <f>16920*12</f>
        <v>203040</v>
      </c>
      <c r="G40" s="159"/>
      <c r="H40" s="156"/>
      <c r="I40" s="156"/>
      <c r="J40" s="156"/>
      <c r="K40" s="156"/>
      <c r="L40" s="156"/>
      <c r="M40" s="150">
        <f>(17690-16920)*12</f>
        <v>9240</v>
      </c>
      <c r="N40" s="150">
        <f>(18270-17690)*12</f>
        <v>6960</v>
      </c>
      <c r="O40" s="150">
        <f>(19060-18270)*12</f>
        <v>9480</v>
      </c>
      <c r="P40" s="160">
        <f>F40+M40</f>
        <v>212280</v>
      </c>
      <c r="Q40" s="150">
        <f t="shared" si="5"/>
        <v>219240</v>
      </c>
      <c r="R40" s="161">
        <f t="shared" si="5"/>
        <v>228720</v>
      </c>
      <c r="S40" s="152"/>
    </row>
    <row r="41" spans="1:20" s="153" customFormat="1" ht="21.75" customHeight="1">
      <c r="A41" s="148"/>
      <c r="B41" s="157" t="s">
        <v>201</v>
      </c>
      <c r="C41" s="149"/>
      <c r="D41" s="158"/>
      <c r="E41" s="154"/>
      <c r="F41" s="150">
        <f>16570*12</f>
        <v>198840</v>
      </c>
      <c r="G41" s="159"/>
      <c r="H41" s="156"/>
      <c r="I41" s="156"/>
      <c r="J41" s="156"/>
      <c r="K41" s="156"/>
      <c r="L41" s="156"/>
      <c r="M41" s="150">
        <f>(17310-16570)*12</f>
        <v>8880</v>
      </c>
      <c r="N41" s="150">
        <f>(17910-17310)*12</f>
        <v>7200</v>
      </c>
      <c r="O41" s="150">
        <f>(18690-17910)*12</f>
        <v>9360</v>
      </c>
      <c r="P41" s="160">
        <f>F41+M41</f>
        <v>207720</v>
      </c>
      <c r="Q41" s="150">
        <f t="shared" si="5"/>
        <v>214920</v>
      </c>
      <c r="R41" s="161">
        <f t="shared" si="5"/>
        <v>224280</v>
      </c>
      <c r="S41" s="152"/>
    </row>
    <row r="42" spans="1:20" ht="21.75" customHeight="1">
      <c r="A42" s="10"/>
      <c r="B42" s="157" t="s">
        <v>152</v>
      </c>
      <c r="C42" s="149"/>
      <c r="D42" s="158"/>
      <c r="E42" s="158"/>
      <c r="F42" s="150">
        <f>15810*12</f>
        <v>189720</v>
      </c>
      <c r="G42" s="159"/>
      <c r="H42" s="156"/>
      <c r="I42" s="156"/>
      <c r="J42" s="156"/>
      <c r="K42" s="156"/>
      <c r="L42" s="156"/>
      <c r="M42" s="150">
        <f>640*12</f>
        <v>7680</v>
      </c>
      <c r="N42" s="151">
        <f>660*12</f>
        <v>7920</v>
      </c>
      <c r="O42" s="160">
        <f>690*12</f>
        <v>8280</v>
      </c>
      <c r="P42" s="160">
        <f>F42+M42</f>
        <v>197400</v>
      </c>
      <c r="Q42" s="150">
        <f t="shared" si="5"/>
        <v>205320</v>
      </c>
      <c r="R42" s="161">
        <f t="shared" si="5"/>
        <v>213600</v>
      </c>
      <c r="S42" s="152"/>
      <c r="T42" s="153"/>
    </row>
    <row r="43" spans="1:20" ht="21.75" customHeight="1">
      <c r="A43" s="10"/>
      <c r="B43" s="157" t="s">
        <v>192</v>
      </c>
      <c r="C43" s="149"/>
      <c r="D43" s="158"/>
      <c r="E43" s="158"/>
      <c r="F43" s="150">
        <f>10680*12</f>
        <v>128160</v>
      </c>
      <c r="G43" s="159"/>
      <c r="H43" s="156"/>
      <c r="I43" s="156"/>
      <c r="J43" s="156"/>
      <c r="K43" s="156"/>
      <c r="L43" s="156"/>
      <c r="M43" s="150">
        <f>430*12</f>
        <v>5160</v>
      </c>
      <c r="N43" s="151">
        <f>450*12</f>
        <v>5400</v>
      </c>
      <c r="O43" s="150">
        <f>470*12</f>
        <v>5640</v>
      </c>
      <c r="P43" s="151">
        <f>F43+M43</f>
        <v>133320</v>
      </c>
      <c r="Q43" s="150">
        <f t="shared" si="5"/>
        <v>138720</v>
      </c>
      <c r="R43" s="150">
        <f t="shared" si="5"/>
        <v>144360</v>
      </c>
      <c r="S43" s="152"/>
      <c r="T43" s="153"/>
    </row>
    <row r="44" spans="1:20" ht="21.75" customHeight="1">
      <c r="A44" s="10"/>
      <c r="B44" s="144" t="s">
        <v>62</v>
      </c>
      <c r="C44" s="52"/>
      <c r="D44" s="46"/>
      <c r="E44" s="71"/>
      <c r="F44" s="14"/>
      <c r="G44" s="13"/>
      <c r="H44" s="12"/>
      <c r="I44" s="12"/>
      <c r="J44" s="12"/>
      <c r="K44" s="12"/>
      <c r="L44" s="12"/>
      <c r="M44" s="14"/>
      <c r="N44" s="15"/>
      <c r="O44" s="26"/>
      <c r="P44" s="26"/>
      <c r="Q44" s="14"/>
      <c r="R44" s="27"/>
      <c r="S44" s="61"/>
    </row>
    <row r="45" spans="1:20" ht="21.75" customHeight="1">
      <c r="A45" s="10"/>
      <c r="B45" s="42" t="s">
        <v>243</v>
      </c>
      <c r="C45" s="52" t="s">
        <v>8</v>
      </c>
      <c r="D45" s="46">
        <v>3</v>
      </c>
      <c r="E45" s="71" t="s">
        <v>8</v>
      </c>
      <c r="F45" s="14" t="s">
        <v>8</v>
      </c>
      <c r="G45" s="13">
        <v>1</v>
      </c>
      <c r="H45" s="12">
        <v>2</v>
      </c>
      <c r="I45" s="12">
        <v>3</v>
      </c>
      <c r="J45" s="185">
        <v>1</v>
      </c>
      <c r="K45" s="185">
        <v>1</v>
      </c>
      <c r="L45" s="185">
        <v>1</v>
      </c>
      <c r="M45" s="14">
        <v>180000</v>
      </c>
      <c r="N45" s="15">
        <f>7200+180000</f>
        <v>187200</v>
      </c>
      <c r="O45" s="26">
        <f>180000+7560+7200</f>
        <v>194760</v>
      </c>
      <c r="P45" s="26">
        <f>M45</f>
        <v>180000</v>
      </c>
      <c r="Q45" s="14">
        <f>P45+N45</f>
        <v>367200</v>
      </c>
      <c r="R45" s="27">
        <f>Q45+O45</f>
        <v>561960</v>
      </c>
      <c r="S45" s="61"/>
    </row>
    <row r="46" spans="1:20" ht="21.75" customHeight="1">
      <c r="A46" s="10"/>
      <c r="B46" s="42" t="s">
        <v>137</v>
      </c>
      <c r="C46" s="52" t="s">
        <v>8</v>
      </c>
      <c r="D46" s="46">
        <v>1</v>
      </c>
      <c r="E46" s="71" t="s">
        <v>8</v>
      </c>
      <c r="F46" s="14" t="s">
        <v>8</v>
      </c>
      <c r="G46" s="13" t="s">
        <v>8</v>
      </c>
      <c r="H46" s="12">
        <v>1</v>
      </c>
      <c r="I46" s="12">
        <v>1</v>
      </c>
      <c r="J46" s="185" t="s">
        <v>8</v>
      </c>
      <c r="K46" s="185">
        <v>1</v>
      </c>
      <c r="L46" s="185" t="s">
        <v>8</v>
      </c>
      <c r="M46" s="14" t="s">
        <v>8</v>
      </c>
      <c r="N46" s="15">
        <v>138000</v>
      </c>
      <c r="O46" s="26">
        <v>5520</v>
      </c>
      <c r="P46" s="26" t="s">
        <v>8</v>
      </c>
      <c r="Q46" s="14">
        <f>N46</f>
        <v>138000</v>
      </c>
      <c r="R46" s="27">
        <f>Q46+O46</f>
        <v>143520</v>
      </c>
      <c r="S46" s="61"/>
    </row>
    <row r="47" spans="1:20" ht="21.75" customHeight="1">
      <c r="A47" s="10"/>
      <c r="B47" s="42" t="s">
        <v>123</v>
      </c>
      <c r="C47" s="52" t="s">
        <v>8</v>
      </c>
      <c r="D47" s="46">
        <v>1</v>
      </c>
      <c r="E47" s="71" t="s">
        <v>8</v>
      </c>
      <c r="F47" s="14" t="s">
        <v>8</v>
      </c>
      <c r="G47" s="13" t="s">
        <v>8</v>
      </c>
      <c r="H47" s="12" t="s">
        <v>8</v>
      </c>
      <c r="I47" s="12">
        <v>1</v>
      </c>
      <c r="J47" s="185" t="s">
        <v>8</v>
      </c>
      <c r="K47" s="185" t="s">
        <v>8</v>
      </c>
      <c r="L47" s="185">
        <v>1</v>
      </c>
      <c r="M47" s="14" t="s">
        <v>8</v>
      </c>
      <c r="N47" s="15" t="s">
        <v>8</v>
      </c>
      <c r="O47" s="26">
        <v>112800</v>
      </c>
      <c r="P47" s="26" t="s">
        <v>8</v>
      </c>
      <c r="Q47" s="14" t="s">
        <v>8</v>
      </c>
      <c r="R47" s="27">
        <f>O47</f>
        <v>112800</v>
      </c>
      <c r="S47" s="61"/>
    </row>
    <row r="48" spans="1:20" ht="21.75" customHeight="1">
      <c r="A48" s="10"/>
      <c r="B48" s="42" t="s">
        <v>144</v>
      </c>
      <c r="C48" s="52" t="s">
        <v>8</v>
      </c>
      <c r="D48" s="46">
        <v>16</v>
      </c>
      <c r="E48" s="46">
        <v>11</v>
      </c>
      <c r="F48" s="14">
        <v>1971480</v>
      </c>
      <c r="G48" s="13">
        <v>13</v>
      </c>
      <c r="H48" s="12">
        <v>15</v>
      </c>
      <c r="I48" s="12">
        <v>16</v>
      </c>
      <c r="J48" s="185">
        <v>2</v>
      </c>
      <c r="K48" s="185">
        <v>2</v>
      </c>
      <c r="L48" s="185">
        <v>1</v>
      </c>
      <c r="M48" s="14">
        <f>79560+(180000*2)</f>
        <v>439560</v>
      </c>
      <c r="N48" s="15">
        <f>82560+(7200*2)+(180000*2)</f>
        <v>456960</v>
      </c>
      <c r="O48" s="26">
        <f>85920+(7560*2)+(7200*2)+180000</f>
        <v>295440</v>
      </c>
      <c r="P48" s="26">
        <f>F48+M48</f>
        <v>2411040</v>
      </c>
      <c r="Q48" s="14">
        <f>P48+N48</f>
        <v>2868000</v>
      </c>
      <c r="R48" s="27">
        <f>Q48+O48</f>
        <v>3163440</v>
      </c>
      <c r="S48" s="61"/>
    </row>
    <row r="49" spans="1:20" ht="21.75" customHeight="1">
      <c r="A49" s="10"/>
      <c r="B49" s="157" t="s">
        <v>150</v>
      </c>
      <c r="C49" s="149"/>
      <c r="D49" s="158"/>
      <c r="E49" s="158"/>
      <c r="F49" s="150">
        <f>15810*12</f>
        <v>189720</v>
      </c>
      <c r="G49" s="159"/>
      <c r="H49" s="156"/>
      <c r="I49" s="156"/>
      <c r="J49" s="156"/>
      <c r="K49" s="156"/>
      <c r="L49" s="156"/>
      <c r="M49" s="150">
        <f>640*12</f>
        <v>7680</v>
      </c>
      <c r="N49" s="151">
        <f>660*12</f>
        <v>7920</v>
      </c>
      <c r="O49" s="160">
        <f>690*12</f>
        <v>8280</v>
      </c>
      <c r="P49" s="160">
        <f t="shared" ref="P49:P59" si="6">F49+M49</f>
        <v>197400</v>
      </c>
      <c r="Q49" s="150">
        <f t="shared" ref="Q49:R59" si="7">P49+N49</f>
        <v>205320</v>
      </c>
      <c r="R49" s="161">
        <f t="shared" si="7"/>
        <v>213600</v>
      </c>
      <c r="S49" s="152"/>
      <c r="T49" s="153"/>
    </row>
    <row r="50" spans="1:20" ht="21.75" customHeight="1">
      <c r="A50" s="10"/>
      <c r="B50" s="157" t="s">
        <v>154</v>
      </c>
      <c r="C50" s="149"/>
      <c r="D50" s="158"/>
      <c r="E50" s="158"/>
      <c r="F50" s="150">
        <f>15810*12</f>
        <v>189720</v>
      </c>
      <c r="G50" s="159"/>
      <c r="H50" s="156"/>
      <c r="I50" s="156"/>
      <c r="J50" s="156"/>
      <c r="K50" s="156"/>
      <c r="L50" s="156"/>
      <c r="M50" s="150">
        <f>640*12</f>
        <v>7680</v>
      </c>
      <c r="N50" s="151">
        <f>660*12</f>
        <v>7920</v>
      </c>
      <c r="O50" s="160">
        <f>690*12</f>
        <v>8280</v>
      </c>
      <c r="P50" s="160">
        <f t="shared" si="6"/>
        <v>197400</v>
      </c>
      <c r="Q50" s="150">
        <f t="shared" si="7"/>
        <v>205320</v>
      </c>
      <c r="R50" s="161">
        <f t="shared" si="7"/>
        <v>213600</v>
      </c>
      <c r="S50" s="152"/>
      <c r="T50" s="153"/>
    </row>
    <row r="51" spans="1:20" ht="21.75" customHeight="1">
      <c r="A51" s="10"/>
      <c r="B51" s="157" t="s">
        <v>155</v>
      </c>
      <c r="C51" s="149"/>
      <c r="D51" s="158"/>
      <c r="E51" s="158"/>
      <c r="F51" s="150">
        <f>15810*12</f>
        <v>189720</v>
      </c>
      <c r="G51" s="159"/>
      <c r="H51" s="156"/>
      <c r="I51" s="156"/>
      <c r="J51" s="156"/>
      <c r="K51" s="156"/>
      <c r="L51" s="156"/>
      <c r="M51" s="150">
        <f>640*12</f>
        <v>7680</v>
      </c>
      <c r="N51" s="151">
        <f>660*12</f>
        <v>7920</v>
      </c>
      <c r="O51" s="160">
        <f>690*12</f>
        <v>8280</v>
      </c>
      <c r="P51" s="160">
        <f t="shared" si="6"/>
        <v>197400</v>
      </c>
      <c r="Q51" s="150">
        <f t="shared" si="7"/>
        <v>205320</v>
      </c>
      <c r="R51" s="161">
        <f t="shared" si="7"/>
        <v>213600</v>
      </c>
      <c r="S51" s="152"/>
      <c r="T51" s="153"/>
    </row>
    <row r="52" spans="1:20" ht="21.75" customHeight="1">
      <c r="A52" s="10"/>
      <c r="B52" s="157" t="s">
        <v>156</v>
      </c>
      <c r="C52" s="149"/>
      <c r="D52" s="158"/>
      <c r="E52" s="158"/>
      <c r="F52" s="150">
        <f>15540*12</f>
        <v>186480</v>
      </c>
      <c r="G52" s="159"/>
      <c r="H52" s="156"/>
      <c r="I52" s="156"/>
      <c r="J52" s="156"/>
      <c r="K52" s="156"/>
      <c r="L52" s="156"/>
      <c r="M52" s="150">
        <f>630*12</f>
        <v>7560</v>
      </c>
      <c r="N52" s="151">
        <f>650*12</f>
        <v>7800</v>
      </c>
      <c r="O52" s="160">
        <f>680*12</f>
        <v>8160</v>
      </c>
      <c r="P52" s="160">
        <f t="shared" si="6"/>
        <v>194040</v>
      </c>
      <c r="Q52" s="150">
        <f t="shared" si="7"/>
        <v>201840</v>
      </c>
      <c r="R52" s="161">
        <f t="shared" si="7"/>
        <v>210000</v>
      </c>
      <c r="S52" s="152"/>
      <c r="T52" s="153"/>
    </row>
    <row r="53" spans="1:20" ht="21.75" customHeight="1">
      <c r="A53" s="10"/>
      <c r="B53" s="157" t="s">
        <v>157</v>
      </c>
      <c r="C53" s="149"/>
      <c r="D53" s="158"/>
      <c r="E53" s="158"/>
      <c r="F53" s="150">
        <f>15270*12</f>
        <v>183240</v>
      </c>
      <c r="G53" s="159"/>
      <c r="H53" s="156"/>
      <c r="I53" s="156"/>
      <c r="J53" s="156"/>
      <c r="K53" s="156"/>
      <c r="L53" s="156"/>
      <c r="M53" s="150">
        <f>620*12</f>
        <v>7440</v>
      </c>
      <c r="N53" s="151">
        <f>640*12</f>
        <v>7680</v>
      </c>
      <c r="O53" s="160">
        <f>670*12</f>
        <v>8040</v>
      </c>
      <c r="P53" s="160">
        <f t="shared" si="6"/>
        <v>190680</v>
      </c>
      <c r="Q53" s="150">
        <f t="shared" si="7"/>
        <v>198360</v>
      </c>
      <c r="R53" s="161">
        <f t="shared" si="7"/>
        <v>206400</v>
      </c>
      <c r="S53" s="152"/>
      <c r="T53" s="153"/>
    </row>
    <row r="54" spans="1:20" ht="21.75" customHeight="1">
      <c r="A54" s="10"/>
      <c r="B54" s="157" t="s">
        <v>158</v>
      </c>
      <c r="C54" s="149"/>
      <c r="D54" s="158"/>
      <c r="E54" s="158"/>
      <c r="F54" s="150">
        <f>15270*12</f>
        <v>183240</v>
      </c>
      <c r="G54" s="159"/>
      <c r="H54" s="156"/>
      <c r="I54" s="156"/>
      <c r="J54" s="156"/>
      <c r="K54" s="156"/>
      <c r="L54" s="156"/>
      <c r="M54" s="150">
        <f>620*12</f>
        <v>7440</v>
      </c>
      <c r="N54" s="151">
        <f>640*12</f>
        <v>7680</v>
      </c>
      <c r="O54" s="160">
        <f>670*12</f>
        <v>8040</v>
      </c>
      <c r="P54" s="160">
        <f t="shared" si="6"/>
        <v>190680</v>
      </c>
      <c r="Q54" s="150">
        <f t="shared" si="7"/>
        <v>198360</v>
      </c>
      <c r="R54" s="161">
        <f t="shared" si="7"/>
        <v>206400</v>
      </c>
      <c r="S54" s="152"/>
      <c r="T54" s="153"/>
    </row>
    <row r="55" spans="1:20" ht="21.75" customHeight="1">
      <c r="A55" s="10"/>
      <c r="B55" s="157" t="s">
        <v>159</v>
      </c>
      <c r="C55" s="149"/>
      <c r="D55" s="158"/>
      <c r="E55" s="158"/>
      <c r="F55" s="150">
        <f>15000*12</f>
        <v>180000</v>
      </c>
      <c r="G55" s="159"/>
      <c r="H55" s="156"/>
      <c r="I55" s="156"/>
      <c r="J55" s="156"/>
      <c r="K55" s="156"/>
      <c r="L55" s="156"/>
      <c r="M55" s="150">
        <f>600*12</f>
        <v>7200</v>
      </c>
      <c r="N55" s="151">
        <f>630*12</f>
        <v>7560</v>
      </c>
      <c r="O55" s="160">
        <f>650*12</f>
        <v>7800</v>
      </c>
      <c r="P55" s="160">
        <f t="shared" si="6"/>
        <v>187200</v>
      </c>
      <c r="Q55" s="150">
        <f t="shared" si="7"/>
        <v>194760</v>
      </c>
      <c r="R55" s="161">
        <f t="shared" si="7"/>
        <v>202560</v>
      </c>
      <c r="S55" s="152"/>
      <c r="T55" s="153"/>
    </row>
    <row r="56" spans="1:20" ht="21.75" customHeight="1">
      <c r="A56" s="10"/>
      <c r="B56" s="157" t="s">
        <v>160</v>
      </c>
      <c r="C56" s="149"/>
      <c r="D56" s="158"/>
      <c r="E56" s="158"/>
      <c r="F56" s="150">
        <f>15000*12</f>
        <v>180000</v>
      </c>
      <c r="G56" s="159"/>
      <c r="H56" s="156"/>
      <c r="I56" s="156"/>
      <c r="J56" s="156"/>
      <c r="K56" s="156"/>
      <c r="L56" s="156"/>
      <c r="M56" s="150">
        <f>600*12</f>
        <v>7200</v>
      </c>
      <c r="N56" s="151">
        <f>630*12</f>
        <v>7560</v>
      </c>
      <c r="O56" s="160">
        <f>650*12</f>
        <v>7800</v>
      </c>
      <c r="P56" s="160">
        <f t="shared" si="6"/>
        <v>187200</v>
      </c>
      <c r="Q56" s="150">
        <f t="shared" si="7"/>
        <v>194760</v>
      </c>
      <c r="R56" s="161">
        <f t="shared" si="7"/>
        <v>202560</v>
      </c>
      <c r="S56" s="152"/>
      <c r="T56" s="153"/>
    </row>
    <row r="57" spans="1:20" ht="21.75" customHeight="1">
      <c r="A57" s="10"/>
      <c r="B57" s="157" t="s">
        <v>161</v>
      </c>
      <c r="C57" s="149"/>
      <c r="D57" s="158"/>
      <c r="E57" s="158"/>
      <c r="F57" s="150">
        <f>15000*12</f>
        <v>180000</v>
      </c>
      <c r="G57" s="159"/>
      <c r="H57" s="156"/>
      <c r="I57" s="156"/>
      <c r="J57" s="156"/>
      <c r="K57" s="156"/>
      <c r="L57" s="156"/>
      <c r="M57" s="150">
        <f>600*12</f>
        <v>7200</v>
      </c>
      <c r="N57" s="151">
        <f>630*12</f>
        <v>7560</v>
      </c>
      <c r="O57" s="160">
        <f>650*12</f>
        <v>7800</v>
      </c>
      <c r="P57" s="160">
        <f t="shared" si="6"/>
        <v>187200</v>
      </c>
      <c r="Q57" s="150">
        <f t="shared" si="7"/>
        <v>194760</v>
      </c>
      <c r="R57" s="161">
        <f t="shared" si="7"/>
        <v>202560</v>
      </c>
      <c r="S57" s="152"/>
      <c r="T57" s="153"/>
    </row>
    <row r="58" spans="1:20" ht="21.75" customHeight="1">
      <c r="A58" s="10"/>
      <c r="B58" s="157" t="s">
        <v>162</v>
      </c>
      <c r="C58" s="149"/>
      <c r="D58" s="158"/>
      <c r="E58" s="158"/>
      <c r="F58" s="150">
        <f>15000*12</f>
        <v>180000</v>
      </c>
      <c r="G58" s="159"/>
      <c r="H58" s="156"/>
      <c r="I58" s="156"/>
      <c r="J58" s="156"/>
      <c r="K58" s="156"/>
      <c r="L58" s="156"/>
      <c r="M58" s="150">
        <f>600*12</f>
        <v>7200</v>
      </c>
      <c r="N58" s="151">
        <f>630*12</f>
        <v>7560</v>
      </c>
      <c r="O58" s="160">
        <f>650*12</f>
        <v>7800</v>
      </c>
      <c r="P58" s="160">
        <f t="shared" si="6"/>
        <v>187200</v>
      </c>
      <c r="Q58" s="150">
        <f t="shared" si="7"/>
        <v>194760</v>
      </c>
      <c r="R58" s="161">
        <f t="shared" si="7"/>
        <v>202560</v>
      </c>
      <c r="S58" s="152"/>
      <c r="T58" s="153"/>
    </row>
    <row r="59" spans="1:20" ht="21.75" customHeight="1">
      <c r="A59" s="10"/>
      <c r="B59" s="157" t="s">
        <v>191</v>
      </c>
      <c r="C59" s="149"/>
      <c r="D59" s="158"/>
      <c r="E59" s="158"/>
      <c r="F59" s="150">
        <f>10780*12</f>
        <v>129360</v>
      </c>
      <c r="G59" s="159"/>
      <c r="H59" s="156"/>
      <c r="I59" s="156"/>
      <c r="J59" s="156"/>
      <c r="K59" s="156"/>
      <c r="L59" s="156"/>
      <c r="M59" s="150">
        <f>440*12</f>
        <v>5280</v>
      </c>
      <c r="N59" s="151">
        <f>450*12</f>
        <v>5400</v>
      </c>
      <c r="O59" s="160">
        <f>470*12</f>
        <v>5640</v>
      </c>
      <c r="P59" s="150">
        <f t="shared" si="6"/>
        <v>134640</v>
      </c>
      <c r="Q59" s="150">
        <f t="shared" si="7"/>
        <v>140040</v>
      </c>
      <c r="R59" s="161">
        <f t="shared" si="7"/>
        <v>145680</v>
      </c>
      <c r="S59" s="152"/>
      <c r="T59" s="153"/>
    </row>
    <row r="60" spans="1:20" ht="21.75" customHeight="1">
      <c r="A60" s="10"/>
      <c r="B60" s="157"/>
      <c r="C60" s="149"/>
      <c r="D60" s="158"/>
      <c r="E60" s="158"/>
      <c r="F60" s="162">
        <f>SUM(F49:F59)</f>
        <v>1971480</v>
      </c>
      <c r="G60" s="163"/>
      <c r="H60" s="164"/>
      <c r="I60" s="164"/>
      <c r="J60" s="164"/>
      <c r="K60" s="164"/>
      <c r="L60" s="164"/>
      <c r="M60" s="162">
        <f t="shared" ref="M60:R60" si="8">SUM(M49:M59)</f>
        <v>79560</v>
      </c>
      <c r="N60" s="162">
        <f t="shared" si="8"/>
        <v>82560</v>
      </c>
      <c r="O60" s="162">
        <f t="shared" si="8"/>
        <v>85920</v>
      </c>
      <c r="P60" s="169">
        <f t="shared" si="8"/>
        <v>2051040</v>
      </c>
      <c r="Q60" s="162">
        <f t="shared" si="8"/>
        <v>2133600</v>
      </c>
      <c r="R60" s="162">
        <f t="shared" si="8"/>
        <v>2219520</v>
      </c>
      <c r="S60" s="152"/>
      <c r="T60" s="153"/>
    </row>
    <row r="61" spans="1:20" ht="21.75" customHeight="1">
      <c r="A61" s="10"/>
      <c r="B61" s="42" t="s">
        <v>145</v>
      </c>
      <c r="C61" s="52" t="s">
        <v>8</v>
      </c>
      <c r="D61" s="46">
        <v>2</v>
      </c>
      <c r="E61" s="46">
        <v>2</v>
      </c>
      <c r="F61" s="170">
        <v>233400</v>
      </c>
      <c r="G61" s="171"/>
      <c r="H61" s="172"/>
      <c r="I61" s="172"/>
      <c r="J61" s="172"/>
      <c r="K61" s="172"/>
      <c r="L61" s="172"/>
      <c r="M61" s="170">
        <v>9480</v>
      </c>
      <c r="N61" s="173">
        <v>9840</v>
      </c>
      <c r="O61" s="174">
        <v>10200</v>
      </c>
      <c r="P61" s="174">
        <v>242880</v>
      </c>
      <c r="Q61" s="170">
        <v>252720</v>
      </c>
      <c r="R61" s="175">
        <v>262920</v>
      </c>
      <c r="S61" s="61"/>
    </row>
    <row r="62" spans="1:20" s="153" customFormat="1" ht="21.75" customHeight="1">
      <c r="A62" s="148"/>
      <c r="B62" s="157" t="s">
        <v>194</v>
      </c>
      <c r="C62" s="149"/>
      <c r="D62" s="158"/>
      <c r="E62" s="154"/>
      <c r="F62" s="150">
        <f>9550*12</f>
        <v>114600</v>
      </c>
      <c r="G62" s="159"/>
      <c r="H62" s="156"/>
      <c r="I62" s="156"/>
      <c r="J62" s="156"/>
      <c r="K62" s="156"/>
      <c r="L62" s="156"/>
      <c r="M62" s="150">
        <f>390*12</f>
        <v>4680</v>
      </c>
      <c r="N62" s="151">
        <f>400*12</f>
        <v>4800</v>
      </c>
      <c r="O62" s="160">
        <f>420*12</f>
        <v>5040</v>
      </c>
      <c r="P62" s="160">
        <f>F62+M62</f>
        <v>119280</v>
      </c>
      <c r="Q62" s="150">
        <f>P62+N62</f>
        <v>124080</v>
      </c>
      <c r="R62" s="161">
        <f>Q62+O62</f>
        <v>129120</v>
      </c>
      <c r="S62" s="152"/>
    </row>
    <row r="63" spans="1:20" s="153" customFormat="1" ht="21.75" customHeight="1">
      <c r="A63" s="148"/>
      <c r="B63" s="157" t="s">
        <v>195</v>
      </c>
      <c r="C63" s="149"/>
      <c r="D63" s="158"/>
      <c r="E63" s="154"/>
      <c r="F63" s="150">
        <f>9900*12</f>
        <v>118800</v>
      </c>
      <c r="G63" s="159"/>
      <c r="H63" s="156"/>
      <c r="I63" s="156"/>
      <c r="J63" s="156"/>
      <c r="K63" s="156"/>
      <c r="L63" s="156"/>
      <c r="M63" s="150">
        <f>400*12</f>
        <v>4800</v>
      </c>
      <c r="N63" s="151">
        <f>420*12</f>
        <v>5040</v>
      </c>
      <c r="O63" s="160">
        <f>430*12</f>
        <v>5160</v>
      </c>
      <c r="P63" s="160">
        <f>F63+M63</f>
        <v>123600</v>
      </c>
      <c r="Q63" s="150">
        <f>P63+N63</f>
        <v>128640</v>
      </c>
      <c r="R63" s="161">
        <f>Q63+O63</f>
        <v>133800</v>
      </c>
      <c r="S63" s="152"/>
    </row>
    <row r="64" spans="1:20" ht="21.75" customHeight="1">
      <c r="A64" s="10"/>
      <c r="B64" s="42"/>
      <c r="C64" s="52"/>
      <c r="D64" s="46"/>
      <c r="E64" s="71"/>
      <c r="F64" s="14"/>
      <c r="G64" s="13"/>
      <c r="H64" s="12"/>
      <c r="I64" s="12"/>
      <c r="J64" s="12"/>
      <c r="K64" s="12"/>
      <c r="L64" s="12"/>
      <c r="M64" s="14"/>
      <c r="N64" s="15"/>
      <c r="O64" s="26"/>
      <c r="P64" s="26"/>
      <c r="Q64" s="14"/>
      <c r="R64" s="27"/>
      <c r="S64" s="61"/>
    </row>
    <row r="65" spans="1:19" ht="21.75" customHeight="1">
      <c r="A65" s="10"/>
      <c r="B65" s="144" t="s">
        <v>63</v>
      </c>
      <c r="C65" s="52"/>
      <c r="D65" s="46"/>
      <c r="E65" s="71"/>
      <c r="F65" s="14"/>
      <c r="G65" s="13"/>
      <c r="H65" s="12"/>
      <c r="I65" s="12"/>
      <c r="J65" s="12"/>
      <c r="K65" s="12"/>
      <c r="L65" s="12"/>
      <c r="M65" s="14"/>
      <c r="N65" s="15"/>
      <c r="O65" s="26"/>
      <c r="P65" s="26"/>
      <c r="Q65" s="14"/>
      <c r="R65" s="27"/>
      <c r="S65" s="61"/>
    </row>
    <row r="66" spans="1:19" ht="21.75" customHeight="1">
      <c r="A66" s="10"/>
      <c r="B66" s="41" t="s">
        <v>147</v>
      </c>
      <c r="C66" s="52" t="s">
        <v>8</v>
      </c>
      <c r="D66" s="46">
        <v>10</v>
      </c>
      <c r="E66" s="71">
        <v>10</v>
      </c>
      <c r="F66" s="14">
        <f>9000*12*E66</f>
        <v>1080000</v>
      </c>
      <c r="G66" s="13">
        <v>10</v>
      </c>
      <c r="H66" s="12">
        <v>11</v>
      </c>
      <c r="I66" s="12">
        <v>13</v>
      </c>
      <c r="J66" s="12" t="s">
        <v>8</v>
      </c>
      <c r="K66" s="185">
        <v>1</v>
      </c>
      <c r="L66" s="185">
        <v>2</v>
      </c>
      <c r="M66" s="14" t="s">
        <v>8</v>
      </c>
      <c r="N66" s="15">
        <f>9000*12</f>
        <v>108000</v>
      </c>
      <c r="O66" s="26">
        <f>9000*12*2</f>
        <v>216000</v>
      </c>
      <c r="P66" s="26">
        <f>F66</f>
        <v>1080000</v>
      </c>
      <c r="Q66" s="14">
        <f>P66+N66</f>
        <v>1188000</v>
      </c>
      <c r="R66" s="27">
        <f>Q66+P66</f>
        <v>2268000</v>
      </c>
      <c r="S66" s="61"/>
    </row>
    <row r="67" spans="1:19" ht="21.75" customHeight="1">
      <c r="A67" s="10"/>
      <c r="B67" s="41"/>
      <c r="C67" s="52"/>
      <c r="D67" s="46"/>
      <c r="E67" s="71"/>
      <c r="F67" s="14"/>
      <c r="G67" s="13"/>
      <c r="H67" s="12"/>
      <c r="I67" s="12"/>
      <c r="J67" s="12"/>
      <c r="K67" s="12"/>
      <c r="L67" s="12"/>
      <c r="M67" s="14"/>
      <c r="N67" s="15"/>
      <c r="O67" s="26"/>
      <c r="P67" s="26"/>
      <c r="Q67" s="14"/>
      <c r="R67" s="27"/>
      <c r="S67" s="61"/>
    </row>
    <row r="68" spans="1:19" ht="21.75" customHeight="1">
      <c r="A68" s="18"/>
      <c r="B68" s="45"/>
      <c r="C68" s="52"/>
      <c r="D68" s="40"/>
      <c r="E68" s="100"/>
      <c r="F68" s="14"/>
      <c r="G68" s="21"/>
      <c r="H68" s="20"/>
      <c r="I68" s="20"/>
      <c r="J68" s="20"/>
      <c r="K68" s="20"/>
      <c r="L68" s="20"/>
      <c r="M68" s="22"/>
      <c r="N68" s="23"/>
      <c r="O68" s="28"/>
      <c r="P68" s="28"/>
      <c r="Q68" s="22"/>
      <c r="R68" s="29"/>
      <c r="S68" s="62"/>
    </row>
    <row r="69" spans="1:19" s="25" customFormat="1" ht="21.75" customHeight="1">
      <c r="A69" s="24"/>
      <c r="B69" s="43" t="s">
        <v>9</v>
      </c>
      <c r="C69" s="54"/>
      <c r="D69" s="43"/>
      <c r="E69" s="43"/>
      <c r="F69" s="47">
        <f>F66+F48+F10+F9+F8</f>
        <v>4353520</v>
      </c>
      <c r="G69" s="20"/>
      <c r="H69" s="20"/>
      <c r="I69" s="20"/>
      <c r="J69" s="70"/>
      <c r="K69" s="70"/>
      <c r="L69" s="70"/>
      <c r="M69" s="43">
        <f>M48+M10+M9+M8</f>
        <v>851160</v>
      </c>
      <c r="N69" s="43">
        <f t="shared" ref="N69:O69" si="9">N48+N10+N9+N8</f>
        <v>515520</v>
      </c>
      <c r="O69" s="43">
        <f t="shared" si="9"/>
        <v>354720</v>
      </c>
      <c r="P69" s="43">
        <f>P66+P48+P10+P9+P8</f>
        <v>5204680</v>
      </c>
      <c r="Q69" s="43">
        <f>Q66+Q48+Q10+Q9+Q8</f>
        <v>5828200</v>
      </c>
      <c r="R69" s="43">
        <f>R66+R48+R10+R9+R8</f>
        <v>7262920</v>
      </c>
      <c r="S69" s="30"/>
    </row>
    <row r="70" spans="1:19" s="25" customFormat="1" ht="21.75" customHeight="1">
      <c r="A70" s="13"/>
      <c r="B70" s="71"/>
      <c r="C70" s="52"/>
      <c r="D70" s="71"/>
      <c r="E70" s="71"/>
      <c r="F70" s="13"/>
      <c r="G70" s="13"/>
      <c r="H70" s="13"/>
      <c r="I70" s="13"/>
      <c r="J70" s="72"/>
      <c r="K70" s="72"/>
      <c r="L70" s="72"/>
      <c r="M70" s="71"/>
      <c r="N70" s="71"/>
      <c r="O70" s="71"/>
      <c r="P70" s="71"/>
      <c r="Q70" s="71"/>
      <c r="R70" s="71"/>
      <c r="S70" s="13"/>
    </row>
    <row r="71" spans="1:19" s="25" customFormat="1" ht="21.75" customHeight="1">
      <c r="A71" s="13"/>
      <c r="B71" s="71"/>
      <c r="C71" s="52"/>
      <c r="D71" s="71"/>
      <c r="E71" s="71"/>
      <c r="F71" s="13"/>
      <c r="G71" s="13"/>
      <c r="H71" s="13"/>
      <c r="I71" s="13"/>
      <c r="J71" s="72"/>
      <c r="K71" s="72"/>
      <c r="L71" s="72"/>
      <c r="M71" s="71"/>
      <c r="N71" s="71"/>
      <c r="O71" s="71"/>
      <c r="P71" s="71"/>
      <c r="Q71" s="71"/>
      <c r="R71" s="71"/>
      <c r="S71" s="13"/>
    </row>
    <row r="72" spans="1:19" s="33" customFormat="1" ht="21.75" customHeight="1">
      <c r="A72" s="11"/>
      <c r="B72" s="48"/>
      <c r="C72" s="52"/>
      <c r="D72" s="44"/>
      <c r="E72" s="44"/>
      <c r="F72" s="34"/>
      <c r="G72" s="11"/>
      <c r="H72" s="11"/>
      <c r="I72" s="11"/>
      <c r="J72" s="11"/>
      <c r="K72" s="11"/>
      <c r="L72" s="11"/>
      <c r="M72" s="34"/>
      <c r="N72" s="34"/>
      <c r="O72" s="34"/>
      <c r="P72" s="34"/>
      <c r="Q72" s="34"/>
      <c r="R72" s="34"/>
    </row>
    <row r="73" spans="1:19" s="33" customFormat="1" ht="21.75" customHeight="1">
      <c r="A73" s="11"/>
      <c r="B73" s="48"/>
      <c r="C73" s="56"/>
      <c r="D73" s="44"/>
      <c r="E73" s="44"/>
      <c r="F73" s="34"/>
      <c r="G73" s="11"/>
      <c r="H73" s="11"/>
      <c r="I73" s="11"/>
      <c r="J73" s="11"/>
      <c r="K73" s="11"/>
      <c r="L73" s="11"/>
      <c r="M73" s="34"/>
      <c r="N73" s="34"/>
      <c r="O73" s="34"/>
      <c r="P73" s="34"/>
      <c r="Q73" s="34"/>
      <c r="R73" s="34"/>
    </row>
    <row r="74" spans="1:19" s="33" customFormat="1" ht="21.75" customHeight="1">
      <c r="A74" s="11"/>
      <c r="B74" s="48"/>
      <c r="C74" s="52"/>
      <c r="D74" s="44"/>
      <c r="E74" s="44"/>
      <c r="F74" s="34"/>
      <c r="G74" s="11"/>
      <c r="H74" s="11"/>
      <c r="I74" s="11"/>
      <c r="J74" s="11"/>
      <c r="K74" s="11"/>
      <c r="L74" s="11"/>
      <c r="M74" s="34"/>
      <c r="N74" s="34"/>
      <c r="O74" s="34"/>
      <c r="P74" s="34"/>
      <c r="Q74" s="34"/>
      <c r="R74" s="34"/>
    </row>
    <row r="75" spans="1:19" s="33" customFormat="1" ht="21.75" customHeight="1">
      <c r="A75" s="11"/>
      <c r="B75" s="48"/>
      <c r="C75" s="52"/>
      <c r="D75" s="44"/>
      <c r="E75" s="44"/>
      <c r="F75" s="34"/>
      <c r="G75" s="11"/>
      <c r="H75" s="11"/>
      <c r="I75" s="11"/>
      <c r="J75" s="11"/>
      <c r="K75" s="11"/>
      <c r="L75" s="11"/>
      <c r="M75" s="34"/>
      <c r="N75" s="34"/>
      <c r="O75" s="34"/>
      <c r="P75" s="34"/>
      <c r="Q75" s="34"/>
      <c r="R75" s="35"/>
    </row>
    <row r="76" spans="1:19" s="33" customFormat="1" ht="21.75" customHeight="1">
      <c r="A76" s="11"/>
      <c r="B76" s="48"/>
      <c r="C76" s="52"/>
      <c r="D76" s="44"/>
      <c r="E76" s="44"/>
      <c r="F76" s="34"/>
      <c r="G76" s="11"/>
      <c r="H76" s="11"/>
      <c r="I76" s="11"/>
      <c r="J76" s="11"/>
      <c r="K76" s="11"/>
      <c r="L76" s="11"/>
      <c r="M76" s="34"/>
      <c r="N76" s="34"/>
      <c r="O76" s="34"/>
      <c r="P76" s="34"/>
      <c r="Q76" s="34"/>
      <c r="R76" s="35"/>
    </row>
    <row r="77" spans="1:19" ht="21.75" customHeight="1">
      <c r="A77" s="11"/>
      <c r="B77" s="48"/>
      <c r="C77" s="52"/>
      <c r="D77" s="44"/>
      <c r="E77" s="44"/>
      <c r="F77" s="34"/>
      <c r="G77" s="11"/>
      <c r="H77" s="11"/>
      <c r="I77" s="11"/>
      <c r="J77" s="11"/>
      <c r="K77" s="11"/>
      <c r="L77" s="11"/>
      <c r="M77" s="35"/>
      <c r="N77" s="35"/>
      <c r="O77" s="35"/>
      <c r="P77" s="35"/>
      <c r="Q77" s="35"/>
      <c r="R77" s="35"/>
    </row>
    <row r="78" spans="1:19" ht="21.75" customHeight="1">
      <c r="A78" s="11"/>
      <c r="B78" s="48"/>
      <c r="C78" s="57"/>
      <c r="D78" s="44"/>
      <c r="E78" s="44"/>
      <c r="F78" s="34"/>
      <c r="G78" s="11"/>
      <c r="H78" s="11"/>
      <c r="I78" s="11"/>
      <c r="J78" s="11"/>
      <c r="K78" s="11"/>
      <c r="L78" s="11"/>
      <c r="M78" s="35"/>
      <c r="N78" s="35"/>
      <c r="O78" s="35"/>
      <c r="P78" s="35"/>
      <c r="Q78" s="35"/>
      <c r="R78" s="35"/>
    </row>
    <row r="79" spans="1:19" ht="21.75" customHeight="1">
      <c r="A79" s="11"/>
      <c r="B79" s="44"/>
      <c r="C79" s="52"/>
      <c r="D79" s="44"/>
      <c r="E79" s="44"/>
      <c r="F79" s="35"/>
      <c r="G79" s="11"/>
      <c r="H79" s="11"/>
      <c r="I79" s="11"/>
      <c r="J79" s="11"/>
      <c r="K79" s="11"/>
      <c r="L79" s="11"/>
      <c r="M79" s="35"/>
      <c r="N79" s="35"/>
      <c r="O79" s="35"/>
      <c r="P79" s="35"/>
      <c r="Q79" s="35"/>
      <c r="R79" s="35"/>
    </row>
  </sheetData>
  <mergeCells count="9">
    <mergeCell ref="A1:R1"/>
    <mergeCell ref="A2:R2"/>
    <mergeCell ref="A3:R3"/>
    <mergeCell ref="E4:F5"/>
    <mergeCell ref="G4:I4"/>
    <mergeCell ref="J4:L4"/>
    <mergeCell ref="P4:R4"/>
    <mergeCell ref="G5:I5"/>
    <mergeCell ref="J5:L5"/>
  </mergeCells>
  <pageMargins left="0.4" right="0.17" top="0.32" bottom="0.18" header="0.3" footer="0.17"/>
  <pageSetup paperSize="9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T34"/>
  <sheetViews>
    <sheetView view="pageBreakPreview" topLeftCell="A25" workbookViewId="0">
      <selection activeCell="C40" sqref="C40"/>
    </sheetView>
  </sheetViews>
  <sheetFormatPr defaultRowHeight="21.75" customHeight="1"/>
  <cols>
    <col min="1" max="1" width="3.7109375" style="38" customWidth="1"/>
    <col min="2" max="2" width="21.7109375" style="49" customWidth="1"/>
    <col min="3" max="3" width="6" style="58" customWidth="1"/>
    <col min="4" max="4" width="5.7109375" style="49" customWidth="1"/>
    <col min="5" max="5" width="7.85546875" style="49" customWidth="1"/>
    <col min="6" max="6" width="8.85546875" style="5" customWidth="1"/>
    <col min="7" max="11" width="6.28515625" style="5" customWidth="1"/>
    <col min="12" max="12" width="5.42578125" style="5" customWidth="1"/>
    <col min="13" max="15" width="8.28515625" style="5" customWidth="1"/>
    <col min="16" max="18" width="8.7109375" style="5" customWidth="1"/>
    <col min="19" max="19" width="8.140625" style="5" customWidth="1"/>
    <col min="20" max="20" width="3.7109375" style="5" customWidth="1"/>
    <col min="21" max="16384" width="9.140625" style="5"/>
  </cols>
  <sheetData>
    <row r="1" spans="1:20" s="1" customFormat="1" ht="21.75" customHeight="1">
      <c r="A1" s="267" t="s">
        <v>298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20" s="1" customFormat="1" ht="21.75" customHeight="1">
      <c r="A2" s="267" t="s">
        <v>27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20" s="1" customFormat="1" ht="21.75" customHeight="1">
      <c r="A3" s="268" t="s">
        <v>19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ht="21.75" customHeight="1">
      <c r="A4" s="2" t="s">
        <v>0</v>
      </c>
      <c r="B4" s="39" t="s">
        <v>1</v>
      </c>
      <c r="C4" s="65" t="s">
        <v>2</v>
      </c>
      <c r="D4" s="106" t="s">
        <v>4</v>
      </c>
      <c r="E4" s="269" t="s">
        <v>38</v>
      </c>
      <c r="F4" s="270"/>
      <c r="G4" s="273" t="s">
        <v>39</v>
      </c>
      <c r="H4" s="274"/>
      <c r="I4" s="275"/>
      <c r="J4" s="273" t="s">
        <v>44</v>
      </c>
      <c r="K4" s="274"/>
      <c r="L4" s="275"/>
      <c r="M4" s="3"/>
      <c r="N4" s="240" t="s">
        <v>7</v>
      </c>
      <c r="O4" s="4"/>
      <c r="P4" s="273" t="s">
        <v>6</v>
      </c>
      <c r="Q4" s="274"/>
      <c r="R4" s="275"/>
      <c r="S4" s="2" t="s">
        <v>42</v>
      </c>
    </row>
    <row r="5" spans="1:20" ht="21.75" customHeight="1">
      <c r="A5" s="17"/>
      <c r="B5" s="46"/>
      <c r="C5" s="66" t="s">
        <v>3</v>
      </c>
      <c r="D5" s="110" t="s">
        <v>5</v>
      </c>
      <c r="E5" s="271"/>
      <c r="F5" s="272"/>
      <c r="G5" s="276" t="s">
        <v>40</v>
      </c>
      <c r="H5" s="277"/>
      <c r="I5" s="278"/>
      <c r="J5" s="276" t="s">
        <v>45</v>
      </c>
      <c r="K5" s="277"/>
      <c r="L5" s="278"/>
      <c r="M5" s="59"/>
      <c r="N5" s="19"/>
      <c r="O5" s="60"/>
      <c r="P5" s="59"/>
      <c r="Q5" s="19"/>
      <c r="R5" s="60"/>
      <c r="S5" s="61"/>
    </row>
    <row r="6" spans="1:20" ht="21.75" customHeight="1">
      <c r="A6" s="6"/>
      <c r="B6" s="40"/>
      <c r="C6" s="50"/>
      <c r="D6" s="40"/>
      <c r="E6" s="114" t="s">
        <v>43</v>
      </c>
      <c r="F6" s="67" t="s">
        <v>41</v>
      </c>
      <c r="G6" s="7">
        <v>2558</v>
      </c>
      <c r="H6" s="7">
        <v>2559</v>
      </c>
      <c r="I6" s="7">
        <v>2560</v>
      </c>
      <c r="J6" s="7">
        <v>2558</v>
      </c>
      <c r="K6" s="7">
        <v>2559</v>
      </c>
      <c r="L6" s="7">
        <v>2560</v>
      </c>
      <c r="M6" s="7">
        <v>2558</v>
      </c>
      <c r="N6" s="7">
        <v>2559</v>
      </c>
      <c r="O6" s="7">
        <v>2560</v>
      </c>
      <c r="P6" s="7">
        <v>2558</v>
      </c>
      <c r="Q6" s="7">
        <v>2559</v>
      </c>
      <c r="R6" s="7">
        <v>2560</v>
      </c>
      <c r="S6" s="62"/>
    </row>
    <row r="7" spans="1:20" ht="21.75" customHeight="1">
      <c r="A7" s="239"/>
      <c r="B7" s="143" t="s">
        <v>61</v>
      </c>
      <c r="C7" s="51"/>
      <c r="D7" s="39"/>
      <c r="E7" s="141"/>
      <c r="F7" s="142"/>
      <c r="G7" s="240"/>
      <c r="H7" s="2"/>
      <c r="I7" s="2"/>
      <c r="J7" s="2"/>
      <c r="K7" s="2"/>
      <c r="L7" s="2"/>
      <c r="M7" s="2"/>
      <c r="N7" s="240"/>
      <c r="O7" s="239"/>
      <c r="P7" s="2"/>
      <c r="Q7" s="2"/>
      <c r="R7" s="17"/>
      <c r="S7" s="61"/>
    </row>
    <row r="8" spans="1:20" ht="21.75" customHeight="1">
      <c r="A8" s="10">
        <v>24</v>
      </c>
      <c r="B8" s="41" t="s">
        <v>84</v>
      </c>
      <c r="C8" s="52">
        <v>8</v>
      </c>
      <c r="D8" s="46">
        <v>1</v>
      </c>
      <c r="E8" s="71">
        <v>1</v>
      </c>
      <c r="F8" s="14">
        <f>35090*12+(11200*12)</f>
        <v>555480</v>
      </c>
      <c r="G8" s="13">
        <v>1</v>
      </c>
      <c r="H8" s="12">
        <v>1</v>
      </c>
      <c r="I8" s="12">
        <v>1</v>
      </c>
      <c r="J8" s="12" t="s">
        <v>8</v>
      </c>
      <c r="K8" s="12" t="s">
        <v>8</v>
      </c>
      <c r="L8" s="12" t="s">
        <v>8</v>
      </c>
      <c r="M8" s="14">
        <v>16320</v>
      </c>
      <c r="N8" s="15">
        <v>16560</v>
      </c>
      <c r="O8" s="26">
        <v>16320</v>
      </c>
      <c r="P8" s="14">
        <f>F8+M8</f>
        <v>571800</v>
      </c>
      <c r="Q8" s="14">
        <f t="shared" ref="Q8:R14" si="0">P8+N8</f>
        <v>588360</v>
      </c>
      <c r="R8" s="14">
        <f t="shared" si="0"/>
        <v>604680</v>
      </c>
      <c r="S8" s="61"/>
    </row>
    <row r="9" spans="1:20" ht="21.75" customHeight="1">
      <c r="A9" s="10">
        <v>25</v>
      </c>
      <c r="B9" s="41" t="s">
        <v>85</v>
      </c>
      <c r="C9" s="52">
        <v>7</v>
      </c>
      <c r="D9" s="46">
        <v>2</v>
      </c>
      <c r="E9" s="71" t="s">
        <v>8</v>
      </c>
      <c r="F9" s="14" t="s">
        <v>8</v>
      </c>
      <c r="G9" s="13">
        <v>2</v>
      </c>
      <c r="H9" s="12">
        <v>2</v>
      </c>
      <c r="I9" s="12">
        <v>2</v>
      </c>
      <c r="J9" s="185">
        <v>2</v>
      </c>
      <c r="K9" s="12" t="s">
        <v>8</v>
      </c>
      <c r="L9" s="12" t="s">
        <v>8</v>
      </c>
      <c r="M9" s="14">
        <f>381000*2</f>
        <v>762000</v>
      </c>
      <c r="N9" s="15">
        <f>13920*2</f>
        <v>27840</v>
      </c>
      <c r="O9" s="26">
        <f>N9</f>
        <v>27840</v>
      </c>
      <c r="P9" s="14">
        <f>M9</f>
        <v>762000</v>
      </c>
      <c r="Q9" s="14">
        <f t="shared" si="0"/>
        <v>789840</v>
      </c>
      <c r="R9" s="27">
        <f t="shared" si="0"/>
        <v>817680</v>
      </c>
      <c r="S9" s="61"/>
    </row>
    <row r="10" spans="1:20" ht="21.75" customHeight="1">
      <c r="A10" s="10">
        <v>26</v>
      </c>
      <c r="B10" s="41" t="s">
        <v>86</v>
      </c>
      <c r="C10" s="52">
        <v>5</v>
      </c>
      <c r="D10" s="46">
        <v>1</v>
      </c>
      <c r="E10" s="71">
        <v>1</v>
      </c>
      <c r="F10" s="14">
        <f>19300*12</f>
        <v>231600</v>
      </c>
      <c r="G10" s="13">
        <v>1</v>
      </c>
      <c r="H10" s="12">
        <v>1</v>
      </c>
      <c r="I10" s="12">
        <v>1</v>
      </c>
      <c r="J10" s="12" t="s">
        <v>8</v>
      </c>
      <c r="K10" s="12" t="s">
        <v>8</v>
      </c>
      <c r="L10" s="12" t="s">
        <v>8</v>
      </c>
      <c r="M10" s="14">
        <v>8880</v>
      </c>
      <c r="N10" s="15">
        <v>8760</v>
      </c>
      <c r="O10" s="26">
        <v>8760</v>
      </c>
      <c r="P10" s="14">
        <f>F10+M10</f>
        <v>240480</v>
      </c>
      <c r="Q10" s="14">
        <f t="shared" si="0"/>
        <v>249240</v>
      </c>
      <c r="R10" s="14">
        <f t="shared" si="0"/>
        <v>258000</v>
      </c>
      <c r="S10" s="61"/>
    </row>
    <row r="11" spans="1:20" ht="21.75" customHeight="1">
      <c r="A11" s="10">
        <v>27</v>
      </c>
      <c r="B11" s="41" t="s">
        <v>149</v>
      </c>
      <c r="C11" s="52">
        <v>5</v>
      </c>
      <c r="D11" s="46">
        <v>1</v>
      </c>
      <c r="E11" s="71">
        <v>1</v>
      </c>
      <c r="F11" s="14">
        <f>18230*12</f>
        <v>218760</v>
      </c>
      <c r="G11" s="13">
        <v>1</v>
      </c>
      <c r="H11" s="12">
        <v>1</v>
      </c>
      <c r="I11" s="12">
        <v>1</v>
      </c>
      <c r="J11" s="12" t="s">
        <v>8</v>
      </c>
      <c r="K11" s="12" t="s">
        <v>8</v>
      </c>
      <c r="L11" s="12" t="s">
        <v>8</v>
      </c>
      <c r="M11" s="14">
        <v>8640</v>
      </c>
      <c r="N11" s="15">
        <v>8520</v>
      </c>
      <c r="O11" s="26">
        <v>8880</v>
      </c>
      <c r="P11" s="14">
        <f>F11+M11</f>
        <v>227400</v>
      </c>
      <c r="Q11" s="14">
        <f t="shared" si="0"/>
        <v>235920</v>
      </c>
      <c r="R11" s="14">
        <f t="shared" si="0"/>
        <v>244800</v>
      </c>
      <c r="S11" s="61"/>
    </row>
    <row r="12" spans="1:20" ht="21.75" customHeight="1">
      <c r="A12" s="10">
        <v>28</v>
      </c>
      <c r="B12" s="41" t="s">
        <v>87</v>
      </c>
      <c r="C12" s="52">
        <v>3</v>
      </c>
      <c r="D12" s="46">
        <v>1</v>
      </c>
      <c r="E12" s="71">
        <v>1</v>
      </c>
      <c r="F12" s="14">
        <f>13570*12</f>
        <v>162840</v>
      </c>
      <c r="G12" s="13">
        <v>1</v>
      </c>
      <c r="H12" s="12">
        <v>1</v>
      </c>
      <c r="I12" s="12">
        <v>1</v>
      </c>
      <c r="J12" s="12" t="s">
        <v>8</v>
      </c>
      <c r="K12" s="12" t="s">
        <v>8</v>
      </c>
      <c r="L12" s="12" t="s">
        <v>8</v>
      </c>
      <c r="M12" s="14">
        <v>5880</v>
      </c>
      <c r="N12" s="15">
        <v>6000</v>
      </c>
      <c r="O12" s="26">
        <v>6000</v>
      </c>
      <c r="P12" s="14">
        <f>F12+M12</f>
        <v>168720</v>
      </c>
      <c r="Q12" s="14">
        <f t="shared" si="0"/>
        <v>174720</v>
      </c>
      <c r="R12" s="14">
        <f t="shared" si="0"/>
        <v>180720</v>
      </c>
      <c r="S12" s="61"/>
    </row>
    <row r="13" spans="1:20" ht="21.75" customHeight="1">
      <c r="A13" s="10">
        <v>29</v>
      </c>
      <c r="B13" s="41" t="s">
        <v>88</v>
      </c>
      <c r="C13" s="52">
        <v>6</v>
      </c>
      <c r="D13" s="46">
        <v>1</v>
      </c>
      <c r="E13" s="71">
        <v>1</v>
      </c>
      <c r="F13" s="14">
        <f>31260*12</f>
        <v>375120</v>
      </c>
      <c r="G13" s="13">
        <v>1</v>
      </c>
      <c r="H13" s="12">
        <v>1</v>
      </c>
      <c r="I13" s="12">
        <v>1</v>
      </c>
      <c r="J13" s="12" t="s">
        <v>8</v>
      </c>
      <c r="K13" s="12" t="s">
        <v>8</v>
      </c>
      <c r="L13" s="12" t="s">
        <v>8</v>
      </c>
      <c r="M13" s="14">
        <v>12120</v>
      </c>
      <c r="N13" s="15">
        <v>12480</v>
      </c>
      <c r="O13" s="26">
        <v>15984</v>
      </c>
      <c r="P13" s="14">
        <f>F13+M13</f>
        <v>387240</v>
      </c>
      <c r="Q13" s="14">
        <f t="shared" si="0"/>
        <v>399720</v>
      </c>
      <c r="R13" s="27">
        <f t="shared" si="0"/>
        <v>415704</v>
      </c>
      <c r="S13" s="61"/>
      <c r="T13" s="85" t="s">
        <v>299</v>
      </c>
    </row>
    <row r="14" spans="1:20" ht="21.75" customHeight="1">
      <c r="A14" s="10">
        <v>30</v>
      </c>
      <c r="B14" s="41" t="s">
        <v>89</v>
      </c>
      <c r="C14" s="52">
        <v>4</v>
      </c>
      <c r="D14" s="46">
        <v>1</v>
      </c>
      <c r="E14" s="71">
        <v>1</v>
      </c>
      <c r="F14" s="14">
        <f>16650*12</f>
        <v>199800</v>
      </c>
      <c r="G14" s="13">
        <v>1</v>
      </c>
      <c r="H14" s="12">
        <v>1</v>
      </c>
      <c r="I14" s="12">
        <v>1</v>
      </c>
      <c r="J14" s="12" t="s">
        <v>8</v>
      </c>
      <c r="K14" s="12" t="s">
        <v>8</v>
      </c>
      <c r="L14" s="12" t="s">
        <v>8</v>
      </c>
      <c r="M14" s="14">
        <v>7440</v>
      </c>
      <c r="N14" s="15">
        <v>7320</v>
      </c>
      <c r="O14" s="26">
        <v>7200</v>
      </c>
      <c r="P14" s="14">
        <f>F14+M14</f>
        <v>207240</v>
      </c>
      <c r="Q14" s="14">
        <f t="shared" si="0"/>
        <v>214560</v>
      </c>
      <c r="R14" s="27">
        <f t="shared" si="0"/>
        <v>221760</v>
      </c>
      <c r="S14" s="61"/>
    </row>
    <row r="15" spans="1:20" ht="21.75" customHeight="1">
      <c r="A15" s="10"/>
      <c r="B15" s="144" t="s">
        <v>18</v>
      </c>
      <c r="C15" s="52"/>
      <c r="D15" s="46"/>
      <c r="E15" s="71"/>
      <c r="F15" s="14"/>
      <c r="G15" s="13"/>
      <c r="H15" s="12"/>
      <c r="I15" s="12"/>
      <c r="J15" s="12"/>
      <c r="K15" s="12"/>
      <c r="L15" s="12"/>
      <c r="M15" s="14"/>
      <c r="N15" s="15"/>
      <c r="O15" s="26"/>
      <c r="P15" s="14"/>
      <c r="Q15" s="14"/>
      <c r="R15" s="27"/>
      <c r="S15" s="61"/>
    </row>
    <row r="16" spans="1:20" ht="21.75" customHeight="1">
      <c r="A16" s="10">
        <v>31</v>
      </c>
      <c r="B16" s="41" t="s">
        <v>116</v>
      </c>
      <c r="C16" s="52" t="s">
        <v>8</v>
      </c>
      <c r="D16" s="46">
        <v>1</v>
      </c>
      <c r="E16" s="71">
        <v>1</v>
      </c>
      <c r="F16" s="14">
        <f>16340*12</f>
        <v>196080</v>
      </c>
      <c r="G16" s="13">
        <v>1</v>
      </c>
      <c r="H16" s="12">
        <v>1</v>
      </c>
      <c r="I16" s="12">
        <v>1</v>
      </c>
      <c r="J16" s="12" t="s">
        <v>8</v>
      </c>
      <c r="K16" s="12" t="s">
        <v>8</v>
      </c>
      <c r="L16" s="12" t="s">
        <v>8</v>
      </c>
      <c r="M16" s="14">
        <v>7440</v>
      </c>
      <c r="N16" s="15">
        <v>7320</v>
      </c>
      <c r="O16" s="26">
        <v>7440</v>
      </c>
      <c r="P16" s="14">
        <f>F16+M16</f>
        <v>203520</v>
      </c>
      <c r="Q16" s="14">
        <f>P16+N16</f>
        <v>210840</v>
      </c>
      <c r="R16" s="27">
        <f>Q16+O16</f>
        <v>218280</v>
      </c>
      <c r="S16" s="61"/>
    </row>
    <row r="17" spans="1:19" ht="21.75" customHeight="1">
      <c r="A17" s="10"/>
      <c r="B17" s="144" t="s">
        <v>62</v>
      </c>
      <c r="C17" s="52"/>
      <c r="D17" s="46"/>
      <c r="E17" s="71"/>
      <c r="F17" s="14"/>
      <c r="G17" s="13"/>
      <c r="H17" s="12"/>
      <c r="I17" s="12"/>
      <c r="J17" s="12"/>
      <c r="K17" s="12"/>
      <c r="L17" s="12"/>
      <c r="M17" s="14"/>
      <c r="N17" s="15"/>
      <c r="O17" s="26"/>
      <c r="P17" s="14"/>
      <c r="Q17" s="14"/>
      <c r="R17" s="27"/>
      <c r="S17" s="61"/>
    </row>
    <row r="18" spans="1:19" ht="21.75" customHeight="1">
      <c r="A18" s="10">
        <v>32</v>
      </c>
      <c r="B18" s="42" t="s">
        <v>125</v>
      </c>
      <c r="C18" s="52" t="s">
        <v>8</v>
      </c>
      <c r="D18" s="46">
        <v>1</v>
      </c>
      <c r="E18" s="46">
        <v>1</v>
      </c>
      <c r="F18" s="14">
        <f>15000*12</f>
        <v>180000</v>
      </c>
      <c r="G18" s="13">
        <v>1</v>
      </c>
      <c r="H18" s="12">
        <v>1</v>
      </c>
      <c r="I18" s="12">
        <v>1</v>
      </c>
      <c r="J18" s="12" t="s">
        <v>8</v>
      </c>
      <c r="K18" s="12" t="s">
        <v>8</v>
      </c>
      <c r="L18" s="12" t="s">
        <v>8</v>
      </c>
      <c r="M18" s="14">
        <v>7200</v>
      </c>
      <c r="N18" s="15">
        <v>7560</v>
      </c>
      <c r="O18" s="26">
        <v>7800</v>
      </c>
      <c r="P18" s="14">
        <f t="shared" ref="P18:P23" si="1">F18+M18</f>
        <v>187200</v>
      </c>
      <c r="Q18" s="14">
        <f t="shared" ref="Q18:R19" si="2">P18+N18</f>
        <v>194760</v>
      </c>
      <c r="R18" s="27">
        <f t="shared" si="2"/>
        <v>202560</v>
      </c>
      <c r="S18" s="61"/>
    </row>
    <row r="19" spans="1:19" ht="21.75" customHeight="1">
      <c r="A19" s="10">
        <v>33</v>
      </c>
      <c r="B19" s="42" t="s">
        <v>126</v>
      </c>
      <c r="C19" s="52" t="s">
        <v>8</v>
      </c>
      <c r="D19" s="46">
        <v>1</v>
      </c>
      <c r="E19" s="46">
        <v>1</v>
      </c>
      <c r="F19" s="14">
        <f>9900*12</f>
        <v>118800</v>
      </c>
      <c r="G19" s="13">
        <v>1</v>
      </c>
      <c r="H19" s="12">
        <v>1</v>
      </c>
      <c r="I19" s="12">
        <v>1</v>
      </c>
      <c r="J19" s="12" t="s">
        <v>8</v>
      </c>
      <c r="K19" s="12" t="s">
        <v>8</v>
      </c>
      <c r="L19" s="12" t="s">
        <v>8</v>
      </c>
      <c r="M19" s="14">
        <v>4800</v>
      </c>
      <c r="N19" s="15">
        <v>5040</v>
      </c>
      <c r="O19" s="14">
        <v>5160</v>
      </c>
      <c r="P19" s="15">
        <f t="shared" si="1"/>
        <v>123600</v>
      </c>
      <c r="Q19" s="14">
        <f t="shared" si="2"/>
        <v>128640</v>
      </c>
      <c r="R19" s="14">
        <f t="shared" si="2"/>
        <v>133800</v>
      </c>
      <c r="S19" s="61"/>
    </row>
    <row r="20" spans="1:19" ht="21.75" customHeight="1">
      <c r="A20" s="10">
        <v>34</v>
      </c>
      <c r="B20" s="42" t="s">
        <v>127</v>
      </c>
      <c r="C20" s="52" t="s">
        <v>8</v>
      </c>
      <c r="D20" s="46">
        <v>1</v>
      </c>
      <c r="E20" s="46">
        <v>1</v>
      </c>
      <c r="F20" s="14">
        <f>10570*12</f>
        <v>126840</v>
      </c>
      <c r="G20" s="13">
        <v>1</v>
      </c>
      <c r="H20" s="12">
        <v>1</v>
      </c>
      <c r="I20" s="12">
        <v>1</v>
      </c>
      <c r="J20" s="12" t="s">
        <v>8</v>
      </c>
      <c r="K20" s="12" t="s">
        <v>8</v>
      </c>
      <c r="L20" s="12" t="s">
        <v>8</v>
      </c>
      <c r="M20" s="14">
        <f>430*12</f>
        <v>5160</v>
      </c>
      <c r="N20" s="15">
        <f>440*12</f>
        <v>5280</v>
      </c>
      <c r="O20" s="26">
        <f>460*12</f>
        <v>5520</v>
      </c>
      <c r="P20" s="14">
        <f>F20+M20</f>
        <v>132000</v>
      </c>
      <c r="Q20" s="14">
        <f t="shared" ref="Q20:R22" si="3">P20+N20</f>
        <v>137280</v>
      </c>
      <c r="R20" s="27">
        <f t="shared" si="3"/>
        <v>142800</v>
      </c>
      <c r="S20" s="61"/>
    </row>
    <row r="21" spans="1:19" ht="21.75" customHeight="1">
      <c r="A21" s="10">
        <v>35</v>
      </c>
      <c r="B21" s="42" t="s">
        <v>128</v>
      </c>
      <c r="C21" s="52" t="s">
        <v>8</v>
      </c>
      <c r="D21" s="46">
        <v>1</v>
      </c>
      <c r="E21" s="46">
        <v>1</v>
      </c>
      <c r="F21" s="14">
        <f>10780*12</f>
        <v>129360</v>
      </c>
      <c r="G21" s="13">
        <v>1</v>
      </c>
      <c r="H21" s="12">
        <v>1</v>
      </c>
      <c r="I21" s="12">
        <v>1</v>
      </c>
      <c r="J21" s="185" t="s">
        <v>8</v>
      </c>
      <c r="K21" s="12" t="s">
        <v>8</v>
      </c>
      <c r="L21" s="12" t="s">
        <v>8</v>
      </c>
      <c r="M21" s="14">
        <f>440*12</f>
        <v>5280</v>
      </c>
      <c r="N21" s="15">
        <f>450*12</f>
        <v>5400</v>
      </c>
      <c r="O21" s="26">
        <f>470*12</f>
        <v>5640</v>
      </c>
      <c r="P21" s="14">
        <f>F21+M21</f>
        <v>134640</v>
      </c>
      <c r="Q21" s="14">
        <f>P21+N21</f>
        <v>140040</v>
      </c>
      <c r="R21" s="27">
        <f t="shared" si="3"/>
        <v>145680</v>
      </c>
      <c r="S21" s="61"/>
    </row>
    <row r="22" spans="1:19" ht="21.75" customHeight="1">
      <c r="A22" s="10">
        <v>36</v>
      </c>
      <c r="B22" s="42" t="s">
        <v>123</v>
      </c>
      <c r="C22" s="52" t="s">
        <v>8</v>
      </c>
      <c r="D22" s="46">
        <v>1</v>
      </c>
      <c r="E22" s="46">
        <v>1</v>
      </c>
      <c r="F22" s="14">
        <f>10780*12</f>
        <v>129360</v>
      </c>
      <c r="G22" s="13">
        <v>1</v>
      </c>
      <c r="H22" s="12">
        <v>1</v>
      </c>
      <c r="I22" s="12">
        <v>1</v>
      </c>
      <c r="J22" s="12" t="s">
        <v>8</v>
      </c>
      <c r="K22" s="12" t="s">
        <v>8</v>
      </c>
      <c r="L22" s="12" t="s">
        <v>8</v>
      </c>
      <c r="M22" s="14">
        <f>440*12</f>
        <v>5280</v>
      </c>
      <c r="N22" s="15">
        <f>450*12</f>
        <v>5400</v>
      </c>
      <c r="O22" s="26">
        <f>470*12</f>
        <v>5640</v>
      </c>
      <c r="P22" s="14">
        <f t="shared" si="1"/>
        <v>134640</v>
      </c>
      <c r="Q22" s="14">
        <f t="shared" si="3"/>
        <v>140040</v>
      </c>
      <c r="R22" s="27">
        <f t="shared" si="3"/>
        <v>145680</v>
      </c>
      <c r="S22" s="61"/>
    </row>
    <row r="23" spans="1:19" ht="21.75" customHeight="1">
      <c r="A23" s="10">
        <v>37</v>
      </c>
      <c r="B23" s="42" t="s">
        <v>64</v>
      </c>
      <c r="C23" s="52" t="s">
        <v>8</v>
      </c>
      <c r="D23" s="46">
        <v>1</v>
      </c>
      <c r="E23" s="46">
        <v>1</v>
      </c>
      <c r="F23" s="14">
        <f>10680*12</f>
        <v>128160</v>
      </c>
      <c r="G23" s="13">
        <v>1</v>
      </c>
      <c r="H23" s="12">
        <v>1</v>
      </c>
      <c r="I23" s="12">
        <v>1</v>
      </c>
      <c r="J23" s="12" t="s">
        <v>8</v>
      </c>
      <c r="K23" s="12" t="s">
        <v>8</v>
      </c>
      <c r="L23" s="12" t="s">
        <v>8</v>
      </c>
      <c r="M23" s="14">
        <f>430*12</f>
        <v>5160</v>
      </c>
      <c r="N23" s="14">
        <f>450*12</f>
        <v>5400</v>
      </c>
      <c r="O23" s="14">
        <f>470*12</f>
        <v>5640</v>
      </c>
      <c r="P23" s="14">
        <f t="shared" si="1"/>
        <v>133320</v>
      </c>
      <c r="Q23" s="14">
        <f>P23+N23</f>
        <v>138720</v>
      </c>
      <c r="R23" s="14">
        <f>Q23+O23</f>
        <v>144360</v>
      </c>
      <c r="S23" s="61"/>
    </row>
    <row r="24" spans="1:19" ht="21.75" customHeight="1">
      <c r="A24" s="18"/>
      <c r="B24" s="232"/>
      <c r="C24" s="53"/>
      <c r="D24" s="40"/>
      <c r="E24" s="250"/>
      <c r="F24" s="22"/>
      <c r="G24" s="21"/>
      <c r="H24" s="20"/>
      <c r="I24" s="20"/>
      <c r="J24" s="20"/>
      <c r="K24" s="20"/>
      <c r="L24" s="20"/>
      <c r="M24" s="22"/>
      <c r="N24" s="23"/>
      <c r="O24" s="28"/>
      <c r="P24" s="22"/>
      <c r="Q24" s="22"/>
      <c r="R24" s="29"/>
      <c r="S24" s="62"/>
    </row>
    <row r="25" spans="1:19" ht="21.75" customHeight="1">
      <c r="A25" s="10"/>
      <c r="B25" s="144" t="s">
        <v>63</v>
      </c>
      <c r="C25" s="52"/>
      <c r="D25" s="46"/>
      <c r="E25" s="71"/>
      <c r="F25" s="14"/>
      <c r="G25" s="13"/>
      <c r="H25" s="12"/>
      <c r="I25" s="12"/>
      <c r="J25" s="12"/>
      <c r="K25" s="12"/>
      <c r="L25" s="12"/>
      <c r="M25" s="14"/>
      <c r="N25" s="15"/>
      <c r="O25" s="26"/>
      <c r="P25" s="14"/>
      <c r="Q25" s="14"/>
      <c r="R25" s="27"/>
      <c r="S25" s="61"/>
    </row>
    <row r="26" spans="1:19" ht="21.75" customHeight="1">
      <c r="A26" s="10">
        <v>38</v>
      </c>
      <c r="B26" s="42" t="s">
        <v>148</v>
      </c>
      <c r="C26" s="52" t="s">
        <v>8</v>
      </c>
      <c r="D26" s="46">
        <v>2</v>
      </c>
      <c r="E26" s="71">
        <v>2</v>
      </c>
      <c r="F26" s="14">
        <f>9000*12*2</f>
        <v>216000</v>
      </c>
      <c r="G26" s="13">
        <v>2</v>
      </c>
      <c r="H26" s="12">
        <v>2</v>
      </c>
      <c r="I26" s="12">
        <v>2</v>
      </c>
      <c r="J26" s="12" t="s">
        <v>8</v>
      </c>
      <c r="K26" s="12" t="s">
        <v>8</v>
      </c>
      <c r="L26" s="12" t="s">
        <v>8</v>
      </c>
      <c r="M26" s="14" t="s">
        <v>8</v>
      </c>
      <c r="N26" s="15" t="s">
        <v>8</v>
      </c>
      <c r="O26" s="26" t="s">
        <v>8</v>
      </c>
      <c r="P26" s="14">
        <f>108000*2</f>
        <v>216000</v>
      </c>
      <c r="Q26" s="14">
        <f t="shared" ref="Q26:R26" si="4">108000*2</f>
        <v>216000</v>
      </c>
      <c r="R26" s="14">
        <f t="shared" si="4"/>
        <v>216000</v>
      </c>
      <c r="S26" s="61"/>
    </row>
    <row r="27" spans="1:19" ht="21.75" customHeight="1">
      <c r="A27" s="18">
        <v>39</v>
      </c>
      <c r="B27" s="45" t="s">
        <v>147</v>
      </c>
      <c r="C27" s="53" t="s">
        <v>8</v>
      </c>
      <c r="D27" s="40">
        <v>4</v>
      </c>
      <c r="E27" s="100">
        <v>2</v>
      </c>
      <c r="F27" s="14">
        <f>9000*12*E27</f>
        <v>216000</v>
      </c>
      <c r="G27" s="21">
        <v>3</v>
      </c>
      <c r="H27" s="20">
        <v>4</v>
      </c>
      <c r="I27" s="20">
        <v>4</v>
      </c>
      <c r="J27" s="188">
        <v>1</v>
      </c>
      <c r="K27" s="188">
        <v>1</v>
      </c>
      <c r="L27" s="20" t="s">
        <v>8</v>
      </c>
      <c r="M27" s="22">
        <f>9000*12</f>
        <v>108000</v>
      </c>
      <c r="N27" s="22">
        <f>9000*12</f>
        <v>108000</v>
      </c>
      <c r="O27" s="28" t="s">
        <v>8</v>
      </c>
      <c r="P27" s="22">
        <f>F27+M27</f>
        <v>324000</v>
      </c>
      <c r="Q27" s="22">
        <f>P27+N27</f>
        <v>432000</v>
      </c>
      <c r="R27" s="29">
        <f>Q27</f>
        <v>432000</v>
      </c>
      <c r="S27" s="61"/>
    </row>
    <row r="28" spans="1:19" s="25" customFormat="1" ht="21.75" customHeight="1">
      <c r="A28" s="24"/>
      <c r="B28" s="43" t="s">
        <v>9</v>
      </c>
      <c r="C28" s="53"/>
      <c r="D28" s="43">
        <f>SUM(D8:D27)</f>
        <v>21</v>
      </c>
      <c r="E28" s="43">
        <f>SUM(E8:E27)</f>
        <v>17</v>
      </c>
      <c r="F28" s="47">
        <f>SUM(F8:F27)</f>
        <v>3184200</v>
      </c>
      <c r="G28" s="47">
        <f>SUM(G8:G27)</f>
        <v>20</v>
      </c>
      <c r="H28" s="47">
        <f t="shared" ref="H28" si="5">SUM(H8:H27)</f>
        <v>21</v>
      </c>
      <c r="I28" s="47">
        <f>SUM(I8:I27)</f>
        <v>21</v>
      </c>
      <c r="J28" s="189">
        <f>SUM(J8:J27)</f>
        <v>3</v>
      </c>
      <c r="K28" s="189">
        <f t="shared" ref="K28:L28" si="6">SUM(K8:K27)</f>
        <v>1</v>
      </c>
      <c r="L28" s="189">
        <f t="shared" si="6"/>
        <v>0</v>
      </c>
      <c r="M28" s="43">
        <f t="shared" ref="M28:R28" si="7">SUM(M8:M27)</f>
        <v>969600</v>
      </c>
      <c r="N28" s="43">
        <f t="shared" si="7"/>
        <v>236880</v>
      </c>
      <c r="O28" s="43">
        <f t="shared" si="7"/>
        <v>133824</v>
      </c>
      <c r="P28" s="43">
        <f t="shared" si="7"/>
        <v>4153800</v>
      </c>
      <c r="Q28" s="43">
        <f t="shared" si="7"/>
        <v>4390680</v>
      </c>
      <c r="R28" s="43">
        <f t="shared" si="7"/>
        <v>4524504</v>
      </c>
      <c r="S28" s="63"/>
    </row>
    <row r="29" spans="1:19" s="25" customFormat="1" ht="21.75" customHeight="1">
      <c r="A29" s="13"/>
      <c r="B29" s="71"/>
      <c r="C29" s="52"/>
      <c r="D29" s="71"/>
      <c r="E29" s="71"/>
      <c r="F29" s="13"/>
      <c r="G29" s="13"/>
      <c r="H29" s="13"/>
      <c r="I29" s="13"/>
      <c r="J29" s="72"/>
      <c r="K29" s="72"/>
      <c r="L29" s="13"/>
      <c r="M29" s="71"/>
      <c r="N29" s="71"/>
      <c r="O29" s="71"/>
      <c r="P29" s="71"/>
      <c r="Q29" s="71"/>
      <c r="R29" s="71"/>
      <c r="S29" s="73"/>
    </row>
    <row r="30" spans="1:19" s="25" customFormat="1" ht="21.75" customHeight="1">
      <c r="A30" s="13"/>
      <c r="B30" s="71"/>
      <c r="C30" s="52"/>
      <c r="D30" s="71"/>
      <c r="E30" s="71"/>
      <c r="F30" s="13"/>
      <c r="G30" s="13"/>
      <c r="H30" s="13"/>
      <c r="I30" s="13"/>
      <c r="J30" s="72"/>
      <c r="K30" s="72"/>
      <c r="L30" s="13"/>
      <c r="M30" s="71"/>
      <c r="N30" s="71"/>
      <c r="O30" s="71"/>
      <c r="P30" s="71"/>
      <c r="Q30" s="71"/>
      <c r="R30" s="71"/>
      <c r="S30" s="73"/>
    </row>
    <row r="34" spans="19:20" ht="21.75" customHeight="1">
      <c r="S34" s="85"/>
      <c r="T34" s="85" t="s">
        <v>300</v>
      </c>
    </row>
  </sheetData>
  <mergeCells count="9">
    <mergeCell ref="A1:R1"/>
    <mergeCell ref="A2:R2"/>
    <mergeCell ref="A3:R3"/>
    <mergeCell ref="E4:F5"/>
    <mergeCell ref="G4:I4"/>
    <mergeCell ref="J4:L4"/>
    <mergeCell ref="P4:R4"/>
    <mergeCell ref="G5:I5"/>
    <mergeCell ref="J5:L5"/>
  </mergeCells>
  <pageMargins left="0.36" right="0.17" top="0.62992125984251968" bottom="0.55118110236220474" header="0.31496062992125984" footer="0.15748031496062992"/>
  <pageSetup paperSize="9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T35"/>
  <sheetViews>
    <sheetView view="pageBreakPreview" topLeftCell="A19" workbookViewId="0">
      <selection activeCell="E18" sqref="E18"/>
    </sheetView>
  </sheetViews>
  <sheetFormatPr defaultRowHeight="21.75" customHeight="1"/>
  <cols>
    <col min="1" max="1" width="3.7109375" style="38" customWidth="1"/>
    <col min="2" max="2" width="21.7109375" style="49" customWidth="1"/>
    <col min="3" max="3" width="6" style="58" customWidth="1"/>
    <col min="4" max="4" width="5.7109375" style="49" customWidth="1"/>
    <col min="5" max="5" width="7.85546875" style="209" customWidth="1"/>
    <col min="6" max="6" width="8.85546875" style="5" customWidth="1"/>
    <col min="7" max="7" width="6.28515625" style="215" customWidth="1"/>
    <col min="8" max="9" width="6.28515625" style="5" customWidth="1"/>
    <col min="10" max="10" width="6.28515625" style="215" customWidth="1"/>
    <col min="11" max="12" width="6.28515625" style="5" customWidth="1"/>
    <col min="13" max="15" width="8.28515625" style="5" customWidth="1"/>
    <col min="16" max="18" width="8.7109375" style="5" customWidth="1"/>
    <col min="19" max="19" width="8" style="5" customWidth="1"/>
    <col min="20" max="20" width="4" style="5" customWidth="1"/>
    <col min="21" max="16384" width="9.140625" style="5"/>
  </cols>
  <sheetData>
    <row r="1" spans="1:20" s="1" customFormat="1" ht="21.75" customHeight="1">
      <c r="A1" s="267" t="s">
        <v>298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20" s="1" customFormat="1" ht="21.75" customHeight="1">
      <c r="A2" s="267" t="s">
        <v>28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20" s="1" customFormat="1" ht="21.75" customHeight="1">
      <c r="A3" s="268" t="s">
        <v>19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ht="21.75" customHeight="1">
      <c r="A4" s="2" t="s">
        <v>0</v>
      </c>
      <c r="B4" s="39" t="s">
        <v>1</v>
      </c>
      <c r="C4" s="65" t="s">
        <v>2</v>
      </c>
      <c r="D4" s="106" t="s">
        <v>4</v>
      </c>
      <c r="E4" s="269" t="s">
        <v>38</v>
      </c>
      <c r="F4" s="270"/>
      <c r="G4" s="273" t="s">
        <v>39</v>
      </c>
      <c r="H4" s="274"/>
      <c r="I4" s="275"/>
      <c r="J4" s="273" t="s">
        <v>44</v>
      </c>
      <c r="K4" s="274"/>
      <c r="L4" s="275"/>
      <c r="M4" s="3"/>
      <c r="N4" s="240" t="s">
        <v>7</v>
      </c>
      <c r="O4" s="4"/>
      <c r="P4" s="273" t="s">
        <v>6</v>
      </c>
      <c r="Q4" s="274"/>
      <c r="R4" s="275"/>
      <c r="S4" s="2" t="s">
        <v>42</v>
      </c>
    </row>
    <row r="5" spans="1:20" ht="21.75" customHeight="1">
      <c r="A5" s="17"/>
      <c r="B5" s="46"/>
      <c r="C5" s="66" t="s">
        <v>3</v>
      </c>
      <c r="D5" s="110" t="s">
        <v>5</v>
      </c>
      <c r="E5" s="271"/>
      <c r="F5" s="272"/>
      <c r="G5" s="276" t="s">
        <v>40</v>
      </c>
      <c r="H5" s="277"/>
      <c r="I5" s="278"/>
      <c r="J5" s="276" t="s">
        <v>45</v>
      </c>
      <c r="K5" s="277"/>
      <c r="L5" s="278"/>
      <c r="M5" s="59"/>
      <c r="N5" s="19"/>
      <c r="O5" s="60"/>
      <c r="P5" s="59"/>
      <c r="Q5" s="19"/>
      <c r="R5" s="60"/>
      <c r="S5" s="61"/>
    </row>
    <row r="6" spans="1:20" ht="21.75" customHeight="1">
      <c r="A6" s="6"/>
      <c r="B6" s="40"/>
      <c r="C6" s="50"/>
      <c r="D6" s="40"/>
      <c r="E6" s="203" t="s">
        <v>43</v>
      </c>
      <c r="F6" s="67" t="s">
        <v>41</v>
      </c>
      <c r="G6" s="210">
        <v>2558</v>
      </c>
      <c r="H6" s="7">
        <v>2559</v>
      </c>
      <c r="I6" s="7">
        <v>2560</v>
      </c>
      <c r="J6" s="210">
        <v>2558</v>
      </c>
      <c r="K6" s="7">
        <v>2559</v>
      </c>
      <c r="L6" s="7">
        <v>2560</v>
      </c>
      <c r="M6" s="7">
        <v>2558</v>
      </c>
      <c r="N6" s="7">
        <v>2559</v>
      </c>
      <c r="O6" s="7">
        <v>2560</v>
      </c>
      <c r="P6" s="7">
        <v>2558</v>
      </c>
      <c r="Q6" s="7">
        <v>2559</v>
      </c>
      <c r="R6" s="7">
        <v>2560</v>
      </c>
      <c r="S6" s="62"/>
    </row>
    <row r="7" spans="1:20" ht="21.75" customHeight="1">
      <c r="A7" s="239"/>
      <c r="B7" s="143" t="s">
        <v>61</v>
      </c>
      <c r="C7" s="51"/>
      <c r="D7" s="39"/>
      <c r="E7" s="204"/>
      <c r="F7" s="142"/>
      <c r="G7" s="211"/>
      <c r="H7" s="2"/>
      <c r="I7" s="2"/>
      <c r="J7" s="216"/>
      <c r="K7" s="2"/>
      <c r="L7" s="2"/>
      <c r="M7" s="2"/>
      <c r="N7" s="240"/>
      <c r="O7" s="239"/>
      <c r="P7" s="239"/>
      <c r="Q7" s="2"/>
      <c r="R7" s="241"/>
      <c r="S7" s="61"/>
    </row>
    <row r="8" spans="1:20" ht="21.75" customHeight="1">
      <c r="A8" s="32" t="s">
        <v>315</v>
      </c>
      <c r="B8" s="41" t="s">
        <v>90</v>
      </c>
      <c r="C8" s="52">
        <v>8</v>
      </c>
      <c r="D8" s="46">
        <v>1</v>
      </c>
      <c r="E8" s="205">
        <v>1</v>
      </c>
      <c r="F8" s="31">
        <f>35760*12+(11200*12)</f>
        <v>563520</v>
      </c>
      <c r="G8" s="212">
        <v>1</v>
      </c>
      <c r="H8" s="17">
        <v>1</v>
      </c>
      <c r="I8" s="17">
        <v>1</v>
      </c>
      <c r="J8" s="217" t="s">
        <v>8</v>
      </c>
      <c r="K8" s="17" t="s">
        <v>8</v>
      </c>
      <c r="L8" s="17" t="s">
        <v>8</v>
      </c>
      <c r="M8" s="14">
        <f>(37130-35760)*12</f>
        <v>16440</v>
      </c>
      <c r="N8" s="15">
        <f>(38500-37130)*12</f>
        <v>16440</v>
      </c>
      <c r="O8" s="26">
        <f>(39880-38500)*12</f>
        <v>16560</v>
      </c>
      <c r="P8" s="26">
        <f t="shared" ref="P8:P16" si="0">F8+M8</f>
        <v>579960</v>
      </c>
      <c r="Q8" s="14">
        <f t="shared" ref="Q8:Q16" si="1">P8+N8</f>
        <v>596400</v>
      </c>
      <c r="R8" s="27">
        <f t="shared" ref="R8:R16" si="2">Q8+O8</f>
        <v>612960</v>
      </c>
      <c r="S8" s="61"/>
    </row>
    <row r="9" spans="1:20" ht="21.75" customHeight="1">
      <c r="A9" s="32" t="s">
        <v>316</v>
      </c>
      <c r="B9" s="41" t="s">
        <v>91</v>
      </c>
      <c r="C9" s="52">
        <v>7</v>
      </c>
      <c r="D9" s="46">
        <v>3</v>
      </c>
      <c r="E9" s="205">
        <v>1</v>
      </c>
      <c r="F9" s="14">
        <f>31340*12</f>
        <v>376080</v>
      </c>
      <c r="G9" s="212">
        <v>3</v>
      </c>
      <c r="H9" s="17">
        <v>3</v>
      </c>
      <c r="I9" s="17">
        <v>3</v>
      </c>
      <c r="J9" s="218">
        <v>2</v>
      </c>
      <c r="K9" s="17" t="s">
        <v>8</v>
      </c>
      <c r="L9" s="17" t="s">
        <v>8</v>
      </c>
      <c r="M9" s="14">
        <f>(32450-31340)*12+(367080*2)</f>
        <v>747480</v>
      </c>
      <c r="N9" s="15">
        <f>(33560-32450)*12+(13920*2)</f>
        <v>41160</v>
      </c>
      <c r="O9" s="26">
        <f>(34680-33560)*12+(13920*2)</f>
        <v>41280</v>
      </c>
      <c r="P9" s="26">
        <f>F9+M9</f>
        <v>1123560</v>
      </c>
      <c r="Q9" s="14">
        <f t="shared" si="1"/>
        <v>1164720</v>
      </c>
      <c r="R9" s="27">
        <f t="shared" si="2"/>
        <v>1206000</v>
      </c>
      <c r="S9" s="61"/>
    </row>
    <row r="10" spans="1:20" s="153" customFormat="1" ht="21.75" customHeight="1">
      <c r="A10" s="32" t="s">
        <v>317</v>
      </c>
      <c r="B10" s="41" t="s">
        <v>92</v>
      </c>
      <c r="C10" s="52">
        <v>5</v>
      </c>
      <c r="D10" s="46">
        <v>1</v>
      </c>
      <c r="E10" s="205">
        <v>1</v>
      </c>
      <c r="F10" s="14">
        <f>18950*12</f>
        <v>227400</v>
      </c>
      <c r="G10" s="212">
        <v>1</v>
      </c>
      <c r="H10" s="17">
        <v>1</v>
      </c>
      <c r="I10" s="17">
        <v>1</v>
      </c>
      <c r="J10" s="219" t="s">
        <v>8</v>
      </c>
      <c r="K10" s="17" t="s">
        <v>8</v>
      </c>
      <c r="L10" s="17" t="s">
        <v>8</v>
      </c>
      <c r="M10" s="14">
        <f>(19660-18950)*12</f>
        <v>8520</v>
      </c>
      <c r="N10" s="15">
        <f>(20400-19660)*12</f>
        <v>8880</v>
      </c>
      <c r="O10" s="26">
        <f>(21140-20400)*12</f>
        <v>8880</v>
      </c>
      <c r="P10" s="26">
        <f t="shared" si="0"/>
        <v>235920</v>
      </c>
      <c r="Q10" s="14">
        <f t="shared" si="1"/>
        <v>244800</v>
      </c>
      <c r="R10" s="27">
        <f t="shared" si="2"/>
        <v>253680</v>
      </c>
      <c r="S10" s="61"/>
      <c r="T10" s="5"/>
    </row>
    <row r="11" spans="1:20" s="153" customFormat="1" ht="21.75" customHeight="1">
      <c r="A11" s="32" t="s">
        <v>318</v>
      </c>
      <c r="B11" s="41" t="s">
        <v>94</v>
      </c>
      <c r="C11" s="52" t="s">
        <v>37</v>
      </c>
      <c r="D11" s="46">
        <v>1</v>
      </c>
      <c r="E11" s="205">
        <v>1</v>
      </c>
      <c r="F11" s="14">
        <f>26580*12</f>
        <v>318960</v>
      </c>
      <c r="G11" s="212">
        <v>1</v>
      </c>
      <c r="H11" s="17">
        <v>1</v>
      </c>
      <c r="I11" s="17">
        <v>1</v>
      </c>
      <c r="J11" s="219" t="s">
        <v>8</v>
      </c>
      <c r="K11" s="17" t="s">
        <v>8</v>
      </c>
      <c r="L11" s="17" t="s">
        <v>8</v>
      </c>
      <c r="M11" s="14">
        <f>(27490-26580)*12</f>
        <v>10920</v>
      </c>
      <c r="N11" s="15">
        <f>(28430-27490)*12</f>
        <v>11280</v>
      </c>
      <c r="O11" s="26">
        <f>(29340-28430)*12</f>
        <v>10920</v>
      </c>
      <c r="P11" s="26">
        <f t="shared" si="0"/>
        <v>329880</v>
      </c>
      <c r="Q11" s="14">
        <f t="shared" si="1"/>
        <v>341160</v>
      </c>
      <c r="R11" s="27">
        <f t="shared" si="2"/>
        <v>352080</v>
      </c>
      <c r="S11" s="61"/>
      <c r="T11" s="5"/>
    </row>
    <row r="12" spans="1:20" s="153" customFormat="1" ht="21.75" customHeight="1">
      <c r="A12" s="32" t="s">
        <v>319</v>
      </c>
      <c r="B12" s="41" t="s">
        <v>93</v>
      </c>
      <c r="C12" s="52">
        <v>5</v>
      </c>
      <c r="D12" s="46">
        <v>1</v>
      </c>
      <c r="E12" s="205">
        <v>1</v>
      </c>
      <c r="F12" s="14">
        <f>15000*12</f>
        <v>180000</v>
      </c>
      <c r="G12" s="212">
        <v>1</v>
      </c>
      <c r="H12" s="17">
        <v>1</v>
      </c>
      <c r="I12" s="17">
        <v>1</v>
      </c>
      <c r="J12" s="219" t="s">
        <v>8</v>
      </c>
      <c r="K12" s="17" t="s">
        <v>8</v>
      </c>
      <c r="L12" s="17" t="s">
        <v>8</v>
      </c>
      <c r="M12" s="14">
        <f>(15610-15000)*12</f>
        <v>7320</v>
      </c>
      <c r="N12" s="15">
        <f>(16240-15610)*12</f>
        <v>7560</v>
      </c>
      <c r="O12" s="26">
        <f>(16880-16240)*12</f>
        <v>7680</v>
      </c>
      <c r="P12" s="26">
        <f t="shared" si="0"/>
        <v>187320</v>
      </c>
      <c r="Q12" s="14">
        <f t="shared" si="1"/>
        <v>194880</v>
      </c>
      <c r="R12" s="27">
        <f t="shared" si="2"/>
        <v>202560</v>
      </c>
      <c r="S12" s="61"/>
      <c r="T12" s="5"/>
    </row>
    <row r="13" spans="1:20" ht="21.75" customHeight="1">
      <c r="A13" s="32" t="s">
        <v>320</v>
      </c>
      <c r="B13" s="41" t="s">
        <v>95</v>
      </c>
      <c r="C13" s="52" t="s">
        <v>37</v>
      </c>
      <c r="D13" s="46">
        <v>1</v>
      </c>
      <c r="E13" s="205">
        <v>1</v>
      </c>
      <c r="F13" s="14">
        <f>22490*12</f>
        <v>269880</v>
      </c>
      <c r="G13" s="212">
        <v>1</v>
      </c>
      <c r="H13" s="17">
        <v>1</v>
      </c>
      <c r="I13" s="17">
        <v>1</v>
      </c>
      <c r="J13" s="219" t="s">
        <v>8</v>
      </c>
      <c r="K13" s="17" t="s">
        <v>8</v>
      </c>
      <c r="L13" s="17" t="s">
        <v>8</v>
      </c>
      <c r="M13" s="14">
        <f>(23370-22490)*12</f>
        <v>10560</v>
      </c>
      <c r="N13" s="14">
        <f>(24270-23370)*12</f>
        <v>10800</v>
      </c>
      <c r="O13" s="14">
        <f>(25190-24270)*12</f>
        <v>11040</v>
      </c>
      <c r="P13" s="26">
        <f t="shared" si="0"/>
        <v>280440</v>
      </c>
      <c r="Q13" s="14">
        <f t="shared" si="1"/>
        <v>291240</v>
      </c>
      <c r="R13" s="27">
        <f t="shared" si="2"/>
        <v>302280</v>
      </c>
      <c r="S13" s="61"/>
      <c r="T13" s="85" t="s">
        <v>301</v>
      </c>
    </row>
    <row r="14" spans="1:20" ht="21.75" customHeight="1">
      <c r="A14" s="32" t="s">
        <v>321</v>
      </c>
      <c r="B14" s="41" t="s">
        <v>96</v>
      </c>
      <c r="C14" s="52">
        <v>3</v>
      </c>
      <c r="D14" s="46">
        <v>1</v>
      </c>
      <c r="E14" s="205">
        <v>1</v>
      </c>
      <c r="F14" s="14">
        <f>13570*12</f>
        <v>162840</v>
      </c>
      <c r="G14" s="212">
        <v>1</v>
      </c>
      <c r="H14" s="17">
        <v>1</v>
      </c>
      <c r="I14" s="17">
        <v>1</v>
      </c>
      <c r="J14" s="219" t="s">
        <v>8</v>
      </c>
      <c r="K14" s="17" t="s">
        <v>8</v>
      </c>
      <c r="L14" s="17" t="s">
        <v>8</v>
      </c>
      <c r="M14" s="14">
        <f>(14060-13570)*12</f>
        <v>5880</v>
      </c>
      <c r="N14" s="14">
        <f>(14560-14060)*12</f>
        <v>6000</v>
      </c>
      <c r="O14" s="14">
        <f>(15060-14560)*12</f>
        <v>6000</v>
      </c>
      <c r="P14" s="26">
        <f t="shared" si="0"/>
        <v>168720</v>
      </c>
      <c r="Q14" s="14">
        <f t="shared" si="1"/>
        <v>174720</v>
      </c>
      <c r="R14" s="27">
        <f t="shared" si="2"/>
        <v>180720</v>
      </c>
      <c r="S14" s="61"/>
    </row>
    <row r="15" spans="1:20" ht="21.75" customHeight="1">
      <c r="A15" s="32" t="s">
        <v>322</v>
      </c>
      <c r="B15" s="41" t="s">
        <v>97</v>
      </c>
      <c r="C15" s="52">
        <v>5</v>
      </c>
      <c r="D15" s="46">
        <v>1</v>
      </c>
      <c r="E15" s="205">
        <v>1</v>
      </c>
      <c r="F15" s="14">
        <f>18950*12</f>
        <v>227400</v>
      </c>
      <c r="G15" s="212">
        <v>1</v>
      </c>
      <c r="H15" s="17">
        <v>1</v>
      </c>
      <c r="I15" s="17">
        <v>1</v>
      </c>
      <c r="J15" s="219" t="s">
        <v>8</v>
      </c>
      <c r="K15" s="17" t="s">
        <v>8</v>
      </c>
      <c r="L15" s="17" t="s">
        <v>8</v>
      </c>
      <c r="M15" s="14">
        <f>(19660-18950)*12</f>
        <v>8520</v>
      </c>
      <c r="N15" s="14">
        <f>(20400-19660)*12</f>
        <v>8880</v>
      </c>
      <c r="O15" s="14">
        <f>(21140-20400)*12</f>
        <v>8880</v>
      </c>
      <c r="P15" s="26">
        <f t="shared" si="0"/>
        <v>235920</v>
      </c>
      <c r="Q15" s="14">
        <f t="shared" si="1"/>
        <v>244800</v>
      </c>
      <c r="R15" s="27">
        <f t="shared" si="2"/>
        <v>253680</v>
      </c>
      <c r="S15" s="61"/>
    </row>
    <row r="16" spans="1:20" ht="21.75" customHeight="1">
      <c r="A16" s="32" t="s">
        <v>323</v>
      </c>
      <c r="B16" s="41" t="s">
        <v>98</v>
      </c>
      <c r="C16" s="52">
        <v>5</v>
      </c>
      <c r="D16" s="46">
        <v>1</v>
      </c>
      <c r="E16" s="205">
        <v>1</v>
      </c>
      <c r="F16" s="14">
        <f>18950*12</f>
        <v>227400</v>
      </c>
      <c r="G16" s="212">
        <v>1</v>
      </c>
      <c r="H16" s="17">
        <v>1</v>
      </c>
      <c r="I16" s="17">
        <v>1</v>
      </c>
      <c r="J16" s="219" t="s">
        <v>8</v>
      </c>
      <c r="K16" s="17" t="s">
        <v>8</v>
      </c>
      <c r="L16" s="17" t="s">
        <v>8</v>
      </c>
      <c r="M16" s="14">
        <f>(19660-18950)*12</f>
        <v>8520</v>
      </c>
      <c r="N16" s="14">
        <f>(20400-19660)*12</f>
        <v>8880</v>
      </c>
      <c r="O16" s="14">
        <f>(21140-20400)*12</f>
        <v>8880</v>
      </c>
      <c r="P16" s="26">
        <f t="shared" si="0"/>
        <v>235920</v>
      </c>
      <c r="Q16" s="14">
        <f t="shared" si="1"/>
        <v>244800</v>
      </c>
      <c r="R16" s="27">
        <f t="shared" si="2"/>
        <v>253680</v>
      </c>
      <c r="S16" s="61"/>
    </row>
    <row r="17" spans="1:19" ht="21.75" customHeight="1">
      <c r="A17" s="10"/>
      <c r="B17" s="144" t="s">
        <v>18</v>
      </c>
      <c r="C17" s="52"/>
      <c r="D17" s="46"/>
      <c r="E17" s="205"/>
      <c r="F17" s="14"/>
      <c r="G17" s="212"/>
      <c r="H17" s="17"/>
      <c r="I17" s="17"/>
      <c r="J17" s="219"/>
      <c r="K17" s="17"/>
      <c r="L17" s="17"/>
      <c r="M17" s="14"/>
      <c r="N17" s="15"/>
      <c r="O17" s="26"/>
      <c r="P17" s="26"/>
      <c r="Q17" s="14"/>
      <c r="R17" s="27"/>
      <c r="S17" s="61"/>
    </row>
    <row r="18" spans="1:19" ht="21.75" customHeight="1">
      <c r="A18" s="32" t="s">
        <v>324</v>
      </c>
      <c r="B18" s="42" t="s">
        <v>117</v>
      </c>
      <c r="C18" s="52" t="s">
        <v>8</v>
      </c>
      <c r="D18" s="46">
        <v>1</v>
      </c>
      <c r="E18" s="205">
        <v>1</v>
      </c>
      <c r="F18" s="14">
        <f>14570*12</f>
        <v>174840</v>
      </c>
      <c r="G18" s="212">
        <v>1</v>
      </c>
      <c r="H18" s="17">
        <v>1</v>
      </c>
      <c r="I18" s="17">
        <v>1</v>
      </c>
      <c r="J18" s="219" t="s">
        <v>8</v>
      </c>
      <c r="K18" s="17" t="s">
        <v>8</v>
      </c>
      <c r="L18" s="17" t="s">
        <v>8</v>
      </c>
      <c r="M18" s="14">
        <f>(15140-14570)*12</f>
        <v>6840</v>
      </c>
      <c r="N18" s="14">
        <f>(15720-15140)*12</f>
        <v>6960</v>
      </c>
      <c r="O18" s="14">
        <f>(16340-15720)*12</f>
        <v>7440</v>
      </c>
      <c r="P18" s="26">
        <f>F18+M18</f>
        <v>181680</v>
      </c>
      <c r="Q18" s="14">
        <f>P18+N18</f>
        <v>188640</v>
      </c>
      <c r="R18" s="27">
        <f>Q18+O18</f>
        <v>196080</v>
      </c>
      <c r="S18" s="61"/>
    </row>
    <row r="19" spans="1:19" ht="21.75" customHeight="1">
      <c r="A19" s="10"/>
      <c r="B19" s="144" t="s">
        <v>62</v>
      </c>
      <c r="C19" s="52"/>
      <c r="D19" s="46"/>
      <c r="E19" s="205"/>
      <c r="F19" s="14"/>
      <c r="G19" s="212"/>
      <c r="H19" s="17"/>
      <c r="I19" s="17"/>
      <c r="J19" s="219"/>
      <c r="K19" s="17"/>
      <c r="L19" s="17"/>
      <c r="M19" s="14"/>
      <c r="N19" s="15"/>
      <c r="O19" s="26"/>
      <c r="P19" s="26"/>
      <c r="Q19" s="14"/>
      <c r="R19" s="27"/>
      <c r="S19" s="61"/>
    </row>
    <row r="20" spans="1:19" ht="21.75" customHeight="1">
      <c r="A20" s="32" t="s">
        <v>325</v>
      </c>
      <c r="B20" s="42" t="s">
        <v>123</v>
      </c>
      <c r="C20" s="52" t="s">
        <v>8</v>
      </c>
      <c r="D20" s="46">
        <v>1</v>
      </c>
      <c r="E20" s="205">
        <v>1</v>
      </c>
      <c r="F20" s="14">
        <f>10780*12</f>
        <v>129360</v>
      </c>
      <c r="G20" s="213">
        <v>1</v>
      </c>
      <c r="H20" s="12">
        <v>1</v>
      </c>
      <c r="I20" s="12">
        <v>1</v>
      </c>
      <c r="J20" s="12" t="s">
        <v>8</v>
      </c>
      <c r="K20" s="12" t="s">
        <v>8</v>
      </c>
      <c r="L20" s="12" t="s">
        <v>8</v>
      </c>
      <c r="M20" s="14">
        <f>(440*12)</f>
        <v>5280</v>
      </c>
      <c r="N20" s="15">
        <f>450*12</f>
        <v>5400</v>
      </c>
      <c r="O20" s="26">
        <f>470*12</f>
        <v>5640</v>
      </c>
      <c r="P20" s="14">
        <f>F20+M20</f>
        <v>134640</v>
      </c>
      <c r="Q20" s="14">
        <f>P20+N20</f>
        <v>140040</v>
      </c>
      <c r="R20" s="27">
        <f>Q20+O20</f>
        <v>145680</v>
      </c>
      <c r="S20" s="61"/>
    </row>
    <row r="21" spans="1:19" ht="21.75" customHeight="1">
      <c r="A21" s="32" t="s">
        <v>326</v>
      </c>
      <c r="B21" s="42" t="s">
        <v>129</v>
      </c>
      <c r="C21" s="52" t="s">
        <v>8</v>
      </c>
      <c r="D21" s="46">
        <v>1</v>
      </c>
      <c r="E21" s="205">
        <v>1</v>
      </c>
      <c r="F21" s="14">
        <f>10780*12</f>
        <v>129360</v>
      </c>
      <c r="G21" s="213">
        <v>1</v>
      </c>
      <c r="H21" s="12">
        <v>1</v>
      </c>
      <c r="I21" s="12">
        <v>1</v>
      </c>
      <c r="J21" s="220" t="s">
        <v>8</v>
      </c>
      <c r="K21" s="12" t="s">
        <v>8</v>
      </c>
      <c r="L21" s="12" t="s">
        <v>8</v>
      </c>
      <c r="M21" s="14">
        <f>440*12</f>
        <v>5280</v>
      </c>
      <c r="N21" s="15">
        <f>450*12</f>
        <v>5400</v>
      </c>
      <c r="O21" s="26">
        <f>470*12</f>
        <v>5640</v>
      </c>
      <c r="P21" s="14">
        <f>F21+M21</f>
        <v>134640</v>
      </c>
      <c r="Q21" s="14">
        <f t="shared" ref="Q21:R22" si="3">P21+N21</f>
        <v>140040</v>
      </c>
      <c r="R21" s="27">
        <f t="shared" si="3"/>
        <v>145680</v>
      </c>
      <c r="S21" s="61"/>
    </row>
    <row r="22" spans="1:19" ht="21.75" customHeight="1">
      <c r="A22" s="32" t="s">
        <v>327</v>
      </c>
      <c r="B22" s="42" t="s">
        <v>130</v>
      </c>
      <c r="C22" s="52" t="s">
        <v>8</v>
      </c>
      <c r="D22" s="46">
        <v>1</v>
      </c>
      <c r="E22" s="205">
        <v>1</v>
      </c>
      <c r="F22" s="14">
        <f>10780*12</f>
        <v>129360</v>
      </c>
      <c r="G22" s="213">
        <v>1</v>
      </c>
      <c r="H22" s="12">
        <v>1</v>
      </c>
      <c r="I22" s="12">
        <v>1</v>
      </c>
      <c r="J22" s="220" t="s">
        <v>8</v>
      </c>
      <c r="K22" s="12" t="s">
        <v>8</v>
      </c>
      <c r="L22" s="12" t="s">
        <v>8</v>
      </c>
      <c r="M22" s="14">
        <f>440*12</f>
        <v>5280</v>
      </c>
      <c r="N22" s="15">
        <f>450*12</f>
        <v>5400</v>
      </c>
      <c r="O22" s="26">
        <f>470*12</f>
        <v>5640</v>
      </c>
      <c r="P22" s="14">
        <f>F22+M22</f>
        <v>134640</v>
      </c>
      <c r="Q22" s="14">
        <f t="shared" si="3"/>
        <v>140040</v>
      </c>
      <c r="R22" s="27">
        <f t="shared" si="3"/>
        <v>145680</v>
      </c>
      <c r="S22" s="61"/>
    </row>
    <row r="23" spans="1:19" ht="21.75" customHeight="1">
      <c r="A23" s="32" t="s">
        <v>328</v>
      </c>
      <c r="B23" s="42" t="s">
        <v>131</v>
      </c>
      <c r="C23" s="52" t="s">
        <v>8</v>
      </c>
      <c r="D23" s="46">
        <v>3</v>
      </c>
      <c r="E23" s="205">
        <v>3</v>
      </c>
      <c r="F23" s="14">
        <v>393360</v>
      </c>
      <c r="G23" s="212">
        <v>3</v>
      </c>
      <c r="H23" s="17">
        <v>3</v>
      </c>
      <c r="I23" s="17">
        <v>3</v>
      </c>
      <c r="J23" s="220" t="s">
        <v>8</v>
      </c>
      <c r="K23" s="12" t="s">
        <v>8</v>
      </c>
      <c r="L23" s="12" t="s">
        <v>8</v>
      </c>
      <c r="M23" s="14">
        <v>15960</v>
      </c>
      <c r="N23" s="15">
        <v>16560</v>
      </c>
      <c r="O23" s="26">
        <v>17280</v>
      </c>
      <c r="P23" s="26">
        <v>409320</v>
      </c>
      <c r="Q23" s="14">
        <v>425880</v>
      </c>
      <c r="R23" s="27">
        <v>443160</v>
      </c>
      <c r="S23" s="61"/>
    </row>
    <row r="24" spans="1:19" ht="21.75" customHeight="1">
      <c r="A24" s="234" t="s">
        <v>329</v>
      </c>
      <c r="B24" s="232" t="s">
        <v>132</v>
      </c>
      <c r="C24" s="53" t="s">
        <v>8</v>
      </c>
      <c r="D24" s="40">
        <v>2</v>
      </c>
      <c r="E24" s="206">
        <v>2</v>
      </c>
      <c r="F24" s="22">
        <f>10680*12*2</f>
        <v>256320</v>
      </c>
      <c r="G24" s="253">
        <v>2</v>
      </c>
      <c r="H24" s="20">
        <v>2</v>
      </c>
      <c r="I24" s="20">
        <v>2</v>
      </c>
      <c r="J24" s="254" t="s">
        <v>8</v>
      </c>
      <c r="K24" s="20" t="s">
        <v>8</v>
      </c>
      <c r="L24" s="20" t="s">
        <v>8</v>
      </c>
      <c r="M24" s="22">
        <f>430*12*2</f>
        <v>10320</v>
      </c>
      <c r="N24" s="23">
        <f>450*12*2</f>
        <v>10800</v>
      </c>
      <c r="O24" s="22">
        <f>470*12*2</f>
        <v>11280</v>
      </c>
      <c r="P24" s="23">
        <f>F24+M24</f>
        <v>266640</v>
      </c>
      <c r="Q24" s="22">
        <f t="shared" ref="Q24:R24" si="4">P24+N24</f>
        <v>277440</v>
      </c>
      <c r="R24" s="22">
        <f t="shared" si="4"/>
        <v>288720</v>
      </c>
      <c r="S24" s="62"/>
    </row>
    <row r="25" spans="1:19" ht="21.75" customHeight="1">
      <c r="A25" s="32" t="s">
        <v>330</v>
      </c>
      <c r="B25" s="42" t="s">
        <v>133</v>
      </c>
      <c r="C25" s="52" t="s">
        <v>8</v>
      </c>
      <c r="D25" s="46">
        <v>2</v>
      </c>
      <c r="E25" s="205">
        <v>2</v>
      </c>
      <c r="F25" s="14">
        <v>252120</v>
      </c>
      <c r="G25" s="212">
        <v>2</v>
      </c>
      <c r="H25" s="17">
        <v>2</v>
      </c>
      <c r="I25" s="17">
        <v>2</v>
      </c>
      <c r="J25" s="220" t="s">
        <v>8</v>
      </c>
      <c r="K25" s="12" t="s">
        <v>8</v>
      </c>
      <c r="L25" s="12" t="s">
        <v>8</v>
      </c>
      <c r="M25" s="14">
        <v>10200</v>
      </c>
      <c r="N25" s="15">
        <v>10680</v>
      </c>
      <c r="O25" s="26">
        <v>11040</v>
      </c>
      <c r="P25" s="26">
        <v>262320</v>
      </c>
      <c r="Q25" s="14">
        <v>273000</v>
      </c>
      <c r="R25" s="27">
        <v>284040</v>
      </c>
      <c r="S25" s="61"/>
    </row>
    <row r="26" spans="1:19" ht="21.75" customHeight="1">
      <c r="A26" s="32" t="s">
        <v>331</v>
      </c>
      <c r="B26" s="42" t="s">
        <v>134</v>
      </c>
      <c r="C26" s="52" t="s">
        <v>8</v>
      </c>
      <c r="D26" s="46">
        <v>2</v>
      </c>
      <c r="E26" s="205">
        <v>2</v>
      </c>
      <c r="F26" s="14">
        <f>9900*12*2</f>
        <v>237600</v>
      </c>
      <c r="G26" s="213">
        <v>2</v>
      </c>
      <c r="H26" s="12">
        <v>2</v>
      </c>
      <c r="I26" s="12">
        <v>2</v>
      </c>
      <c r="J26" s="220" t="s">
        <v>8</v>
      </c>
      <c r="K26" s="12" t="s">
        <v>8</v>
      </c>
      <c r="L26" s="12" t="s">
        <v>8</v>
      </c>
      <c r="M26" s="14">
        <f>4800*2</f>
        <v>9600</v>
      </c>
      <c r="N26" s="15">
        <f>5040*2</f>
        <v>10080</v>
      </c>
      <c r="O26" s="14">
        <f>5160*2</f>
        <v>10320</v>
      </c>
      <c r="P26" s="15">
        <f t="shared" ref="P26:P27" si="5">F26+M26</f>
        <v>247200</v>
      </c>
      <c r="Q26" s="14">
        <f t="shared" ref="Q26:R26" si="6">P26+N26</f>
        <v>257280</v>
      </c>
      <c r="R26" s="14">
        <f t="shared" si="6"/>
        <v>267600</v>
      </c>
      <c r="S26" s="61"/>
    </row>
    <row r="27" spans="1:19" ht="21.75" customHeight="1">
      <c r="A27" s="32" t="s">
        <v>332</v>
      </c>
      <c r="B27" s="42" t="s">
        <v>135</v>
      </c>
      <c r="C27" s="52" t="s">
        <v>8</v>
      </c>
      <c r="D27" s="46">
        <v>3</v>
      </c>
      <c r="E27" s="205">
        <v>3</v>
      </c>
      <c r="F27" s="14">
        <v>610680</v>
      </c>
      <c r="G27" s="212">
        <v>3</v>
      </c>
      <c r="H27" s="17">
        <v>3</v>
      </c>
      <c r="I27" s="17">
        <v>3</v>
      </c>
      <c r="J27" s="220" t="s">
        <v>8</v>
      </c>
      <c r="K27" s="17" t="s">
        <v>8</v>
      </c>
      <c r="L27" s="17" t="s">
        <v>8</v>
      </c>
      <c r="M27" s="14">
        <f>24600</f>
        <v>24600</v>
      </c>
      <c r="N27" s="15">
        <f>25560</f>
        <v>25560</v>
      </c>
      <c r="O27" s="26">
        <f>26640</f>
        <v>26640</v>
      </c>
      <c r="P27" s="26">
        <f t="shared" si="5"/>
        <v>635280</v>
      </c>
      <c r="Q27" s="14">
        <f t="shared" ref="Q27:R27" si="7">P27+N27</f>
        <v>660840</v>
      </c>
      <c r="R27" s="14">
        <f t="shared" si="7"/>
        <v>687480</v>
      </c>
      <c r="S27" s="61"/>
    </row>
    <row r="28" spans="1:19" s="153" customFormat="1" ht="21.75" customHeight="1">
      <c r="A28" s="32" t="s">
        <v>333</v>
      </c>
      <c r="B28" s="42" t="s">
        <v>64</v>
      </c>
      <c r="C28" s="52" t="s">
        <v>8</v>
      </c>
      <c r="D28" s="46">
        <v>7</v>
      </c>
      <c r="E28" s="205">
        <v>7</v>
      </c>
      <c r="F28" s="14">
        <v>896520</v>
      </c>
      <c r="G28" s="212">
        <v>7</v>
      </c>
      <c r="H28" s="17">
        <v>7</v>
      </c>
      <c r="I28" s="17">
        <v>7</v>
      </c>
      <c r="J28" s="220" t="s">
        <v>8</v>
      </c>
      <c r="K28" s="17" t="s">
        <v>8</v>
      </c>
      <c r="L28" s="17" t="s">
        <v>8</v>
      </c>
      <c r="M28" s="14">
        <f>36360</f>
        <v>36360</v>
      </c>
      <c r="N28" s="14">
        <f>37680</f>
        <v>37680</v>
      </c>
      <c r="O28" s="14">
        <f>39240</f>
        <v>39240</v>
      </c>
      <c r="P28" s="26">
        <f t="shared" ref="P28" si="8">F28+M28</f>
        <v>932880</v>
      </c>
      <c r="Q28" s="14">
        <f t="shared" ref="Q28" si="9">P28+N28</f>
        <v>970560</v>
      </c>
      <c r="R28" s="14">
        <f t="shared" ref="R28" si="10">Q28+O28</f>
        <v>1009800</v>
      </c>
      <c r="S28" s="152"/>
    </row>
    <row r="29" spans="1:19" ht="21.75" customHeight="1">
      <c r="A29" s="10"/>
      <c r="B29" s="144" t="s">
        <v>63</v>
      </c>
      <c r="C29" s="52"/>
      <c r="D29" s="46"/>
      <c r="E29" s="205"/>
      <c r="F29" s="14"/>
      <c r="G29" s="212"/>
      <c r="H29" s="17"/>
      <c r="I29" s="17"/>
      <c r="J29" s="219"/>
      <c r="K29" s="17"/>
      <c r="L29" s="17"/>
      <c r="M29" s="14"/>
      <c r="N29" s="15"/>
      <c r="O29" s="26"/>
      <c r="P29" s="26"/>
      <c r="Q29" s="14"/>
      <c r="R29" s="27"/>
      <c r="S29" s="61"/>
    </row>
    <row r="30" spans="1:19" ht="21.75" customHeight="1">
      <c r="A30" s="32" t="s">
        <v>334</v>
      </c>
      <c r="B30" s="42" t="s">
        <v>147</v>
      </c>
      <c r="C30" s="52" t="s">
        <v>8</v>
      </c>
      <c r="D30" s="46">
        <v>24</v>
      </c>
      <c r="E30" s="205">
        <v>22</v>
      </c>
      <c r="F30" s="14">
        <f>9000*12*E30</f>
        <v>2376000</v>
      </c>
      <c r="G30" s="212">
        <v>24</v>
      </c>
      <c r="H30" s="17">
        <v>24</v>
      </c>
      <c r="I30" s="17">
        <v>24</v>
      </c>
      <c r="J30" s="218">
        <v>2</v>
      </c>
      <c r="K30" s="17" t="s">
        <v>8</v>
      </c>
      <c r="L30" s="17" t="s">
        <v>8</v>
      </c>
      <c r="M30" s="14">
        <f>9000*12*2</f>
        <v>216000</v>
      </c>
      <c r="N30" s="15" t="s">
        <v>8</v>
      </c>
      <c r="O30" s="26" t="s">
        <v>8</v>
      </c>
      <c r="P30" s="26">
        <f>F30+M30</f>
        <v>2592000</v>
      </c>
      <c r="Q30" s="14">
        <f>P30</f>
        <v>2592000</v>
      </c>
      <c r="R30" s="27">
        <f>Q30</f>
        <v>2592000</v>
      </c>
      <c r="S30" s="61"/>
    </row>
    <row r="31" spans="1:19" ht="21.75" customHeight="1">
      <c r="A31" s="10"/>
      <c r="B31" s="144"/>
      <c r="C31" s="52"/>
      <c r="D31" s="46"/>
      <c r="E31" s="205"/>
      <c r="F31" s="14"/>
      <c r="G31" s="212"/>
      <c r="H31" s="17"/>
      <c r="I31" s="17"/>
      <c r="J31" s="219"/>
      <c r="K31" s="17"/>
      <c r="L31" s="17"/>
      <c r="M31" s="14"/>
      <c r="N31" s="15"/>
      <c r="O31" s="26"/>
      <c r="P31" s="26"/>
      <c r="Q31" s="14"/>
      <c r="R31" s="27"/>
      <c r="S31" s="61"/>
    </row>
    <row r="32" spans="1:19" ht="21.75" customHeight="1">
      <c r="A32" s="18"/>
      <c r="B32" s="147"/>
      <c r="C32" s="53"/>
      <c r="D32" s="40"/>
      <c r="E32" s="206"/>
      <c r="F32" s="22"/>
      <c r="G32" s="214"/>
      <c r="H32" s="6"/>
      <c r="I32" s="6"/>
      <c r="J32" s="221"/>
      <c r="K32" s="6"/>
      <c r="L32" s="6"/>
      <c r="M32" s="43"/>
      <c r="N32" s="23"/>
      <c r="O32" s="28"/>
      <c r="P32" s="28"/>
      <c r="Q32" s="22"/>
      <c r="R32" s="29"/>
      <c r="S32" s="61"/>
    </row>
    <row r="33" spans="1:20" s="25" customFormat="1" ht="21.75" customHeight="1">
      <c r="A33" s="24"/>
      <c r="B33" s="47" t="s">
        <v>9</v>
      </c>
      <c r="C33" s="54"/>
      <c r="D33" s="30">
        <f t="shared" ref="D33:E33" si="11">SUM(D8:D32)</f>
        <v>58</v>
      </c>
      <c r="E33" s="207">
        <f t="shared" si="11"/>
        <v>54</v>
      </c>
      <c r="F33" s="30">
        <f>SUM(F8:F32)</f>
        <v>8139000</v>
      </c>
      <c r="G33" s="207">
        <f>SUM(G8:G32)</f>
        <v>58</v>
      </c>
      <c r="H33" s="30">
        <f t="shared" ref="H33" si="12">SUM(H8:H32)</f>
        <v>58</v>
      </c>
      <c r="I33" s="30">
        <f>SUM(I8:I32)</f>
        <v>58</v>
      </c>
      <c r="J33" s="222">
        <f>SUM(J8:J32)</f>
        <v>4</v>
      </c>
      <c r="K33" s="189">
        <f t="shared" ref="K33" si="13">SUM(K8:K32)</f>
        <v>0</v>
      </c>
      <c r="L33" s="189" t="s">
        <v>25</v>
      </c>
      <c r="M33" s="47">
        <f>SUM(M8:M32)</f>
        <v>1169880</v>
      </c>
      <c r="N33" s="47">
        <f>SUM(N8:N32)</f>
        <v>254400</v>
      </c>
      <c r="O33" s="47">
        <f>SUM(O8:O32)</f>
        <v>260280</v>
      </c>
      <c r="P33" s="47">
        <f>SUM(P8:P32)</f>
        <v>9308880</v>
      </c>
      <c r="Q33" s="47">
        <f>SUM(Q8:Q32)</f>
        <v>9563280</v>
      </c>
      <c r="R33" s="47">
        <f t="shared" ref="R33" si="14">SUM(R8:R32)</f>
        <v>9823560</v>
      </c>
      <c r="S33" s="63"/>
    </row>
    <row r="34" spans="1:20" s="25" customFormat="1" ht="21.75" customHeight="1">
      <c r="A34" s="13"/>
      <c r="B34" s="71"/>
      <c r="C34" s="52"/>
      <c r="D34" s="71"/>
      <c r="E34" s="208"/>
      <c r="F34" s="13"/>
      <c r="G34" s="213"/>
      <c r="H34" s="13"/>
      <c r="I34" s="13"/>
      <c r="J34" s="223"/>
      <c r="K34" s="72"/>
      <c r="L34" s="13"/>
      <c r="M34" s="13"/>
      <c r="N34" s="13"/>
      <c r="O34" s="13"/>
      <c r="P34" s="71"/>
      <c r="Q34" s="71"/>
      <c r="R34" s="71"/>
      <c r="S34" s="73"/>
      <c r="T34" s="85" t="s">
        <v>302</v>
      </c>
    </row>
    <row r="35" spans="1:20" s="25" customFormat="1" ht="21.75" customHeight="1">
      <c r="A35" s="13"/>
      <c r="B35" s="71"/>
      <c r="C35" s="52"/>
      <c r="D35" s="71"/>
      <c r="E35" s="208"/>
      <c r="F35" s="13"/>
      <c r="G35" s="213"/>
      <c r="H35" s="13"/>
      <c r="I35" s="13"/>
      <c r="J35" s="223"/>
      <c r="K35" s="72"/>
      <c r="L35" s="13"/>
      <c r="M35" s="13"/>
      <c r="N35" s="13"/>
      <c r="O35" s="13"/>
      <c r="P35" s="13"/>
      <c r="Q35" s="13"/>
      <c r="R35" s="13"/>
      <c r="S35" s="73"/>
    </row>
  </sheetData>
  <mergeCells count="9">
    <mergeCell ref="A1:R1"/>
    <mergeCell ref="A2:R2"/>
    <mergeCell ref="A3:R3"/>
    <mergeCell ref="E4:F5"/>
    <mergeCell ref="G4:I4"/>
    <mergeCell ref="J4:L4"/>
    <mergeCell ref="P4:R4"/>
    <mergeCell ref="G5:I5"/>
    <mergeCell ref="J5:L5"/>
  </mergeCells>
  <pageMargins left="0.28000000000000003" right="0.15748031496062992" top="0.64" bottom="0.78" header="0.31496062992125984" footer="0.15748031496062992"/>
  <pageSetup paperSize="9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T41"/>
  <sheetViews>
    <sheetView view="pageBreakPreview" topLeftCell="A7" workbookViewId="0">
      <selection activeCell="P28" sqref="P28"/>
    </sheetView>
  </sheetViews>
  <sheetFormatPr defaultRowHeight="21.75" customHeight="1"/>
  <cols>
    <col min="1" max="1" width="3.7109375" style="38" customWidth="1"/>
    <col min="2" max="2" width="21.7109375" style="49" customWidth="1"/>
    <col min="3" max="3" width="6" style="58" customWidth="1"/>
    <col min="4" max="4" width="5.7109375" style="49" customWidth="1"/>
    <col min="5" max="5" width="7.85546875" style="49" customWidth="1"/>
    <col min="6" max="6" width="8.85546875" style="5" customWidth="1"/>
    <col min="7" max="12" width="6.28515625" style="5" customWidth="1"/>
    <col min="13" max="15" width="8.28515625" style="5" customWidth="1"/>
    <col min="16" max="18" width="8.7109375" style="5" customWidth="1"/>
    <col min="19" max="19" width="8" style="5" customWidth="1"/>
    <col min="20" max="20" width="4" style="5" customWidth="1"/>
    <col min="21" max="16384" width="9.140625" style="5"/>
  </cols>
  <sheetData>
    <row r="1" spans="1:20" s="1" customFormat="1" ht="21.75" customHeight="1">
      <c r="A1" s="267" t="s">
        <v>298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20" s="1" customFormat="1" ht="21.75" customHeight="1">
      <c r="A2" s="267" t="s">
        <v>29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20" s="1" customFormat="1" ht="21.75" customHeight="1">
      <c r="A3" s="268" t="s">
        <v>19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ht="21.75" customHeight="1">
      <c r="A4" s="2" t="s">
        <v>0</v>
      </c>
      <c r="B4" s="39" t="s">
        <v>1</v>
      </c>
      <c r="C4" s="65" t="s">
        <v>2</v>
      </c>
      <c r="D4" s="106" t="s">
        <v>4</v>
      </c>
      <c r="E4" s="269" t="s">
        <v>38</v>
      </c>
      <c r="F4" s="270"/>
      <c r="G4" s="273" t="s">
        <v>39</v>
      </c>
      <c r="H4" s="274"/>
      <c r="I4" s="275"/>
      <c r="J4" s="273" t="s">
        <v>44</v>
      </c>
      <c r="K4" s="274"/>
      <c r="L4" s="275"/>
      <c r="M4" s="3"/>
      <c r="N4" s="236" t="s">
        <v>7</v>
      </c>
      <c r="O4" s="4"/>
      <c r="P4" s="273" t="s">
        <v>6</v>
      </c>
      <c r="Q4" s="274"/>
      <c r="R4" s="275"/>
      <c r="S4" s="2" t="s">
        <v>42</v>
      </c>
    </row>
    <row r="5" spans="1:20" ht="21.75" customHeight="1">
      <c r="A5" s="17"/>
      <c r="B5" s="46"/>
      <c r="C5" s="66" t="s">
        <v>3</v>
      </c>
      <c r="D5" s="110" t="s">
        <v>5</v>
      </c>
      <c r="E5" s="271"/>
      <c r="F5" s="272"/>
      <c r="G5" s="276" t="s">
        <v>40</v>
      </c>
      <c r="H5" s="277"/>
      <c r="I5" s="278"/>
      <c r="J5" s="276" t="s">
        <v>45</v>
      </c>
      <c r="K5" s="277"/>
      <c r="L5" s="278"/>
      <c r="M5" s="59"/>
      <c r="N5" s="19"/>
      <c r="O5" s="60"/>
      <c r="P5" s="59"/>
      <c r="Q5" s="19"/>
      <c r="R5" s="60"/>
      <c r="S5" s="61"/>
    </row>
    <row r="6" spans="1:20" ht="21.75" customHeight="1">
      <c r="A6" s="6"/>
      <c r="B6" s="40"/>
      <c r="C6" s="50"/>
      <c r="D6" s="40"/>
      <c r="E6" s="114" t="s">
        <v>43</v>
      </c>
      <c r="F6" s="67" t="s">
        <v>41</v>
      </c>
      <c r="G6" s="7">
        <v>2558</v>
      </c>
      <c r="H6" s="7">
        <v>2559</v>
      </c>
      <c r="I6" s="7">
        <v>2560</v>
      </c>
      <c r="J6" s="7">
        <v>2558</v>
      </c>
      <c r="K6" s="7">
        <v>2559</v>
      </c>
      <c r="L6" s="7">
        <v>2560</v>
      </c>
      <c r="M6" s="7">
        <v>2558</v>
      </c>
      <c r="N6" s="7">
        <v>2559</v>
      </c>
      <c r="O6" s="7">
        <v>2560</v>
      </c>
      <c r="P6" s="7">
        <v>2558</v>
      </c>
      <c r="Q6" s="7">
        <v>2559</v>
      </c>
      <c r="R6" s="7">
        <v>2560</v>
      </c>
      <c r="S6" s="62"/>
    </row>
    <row r="7" spans="1:20" ht="21.75" customHeight="1">
      <c r="A7" s="235"/>
      <c r="B7" s="143" t="s">
        <v>61</v>
      </c>
      <c r="C7" s="51"/>
      <c r="D7" s="39"/>
      <c r="E7" s="141"/>
      <c r="F7" s="142"/>
      <c r="G7" s="236"/>
      <c r="H7" s="2"/>
      <c r="I7" s="2"/>
      <c r="J7" s="2"/>
      <c r="K7" s="2"/>
      <c r="L7" s="2"/>
      <c r="M7" s="2"/>
      <c r="N7" s="236"/>
      <c r="O7" s="235"/>
      <c r="P7" s="235"/>
      <c r="Q7" s="2"/>
      <c r="R7" s="237"/>
      <c r="S7" s="61"/>
    </row>
    <row r="8" spans="1:20" ht="21.75" customHeight="1">
      <c r="A8" s="32" t="s">
        <v>250</v>
      </c>
      <c r="B8" s="42" t="s">
        <v>99</v>
      </c>
      <c r="C8" s="52">
        <v>8</v>
      </c>
      <c r="D8" s="46">
        <v>1</v>
      </c>
      <c r="E8" s="44">
        <v>1</v>
      </c>
      <c r="F8" s="14">
        <f>40560*12+(11200*12)</f>
        <v>621120</v>
      </c>
      <c r="G8" s="13">
        <v>1</v>
      </c>
      <c r="H8" s="12">
        <v>1</v>
      </c>
      <c r="I8" s="12">
        <v>1</v>
      </c>
      <c r="J8" s="12" t="s">
        <v>8</v>
      </c>
      <c r="K8" s="12" t="s">
        <v>8</v>
      </c>
      <c r="L8" s="12" t="s">
        <v>8</v>
      </c>
      <c r="M8" s="14">
        <f>(41930-40560)*12</f>
        <v>16440</v>
      </c>
      <c r="N8" s="14">
        <f>(43300-41930)*12</f>
        <v>16440</v>
      </c>
      <c r="O8" s="14">
        <f>(44930-43300)*12</f>
        <v>19560</v>
      </c>
      <c r="P8" s="26">
        <f>F8+M8</f>
        <v>637560</v>
      </c>
      <c r="Q8" s="14">
        <f t="shared" ref="Q8:R10" si="0">P8+N8</f>
        <v>654000</v>
      </c>
      <c r="R8" s="27">
        <f t="shared" si="0"/>
        <v>673560</v>
      </c>
      <c r="S8" s="61"/>
    </row>
    <row r="9" spans="1:20" ht="21.75" customHeight="1">
      <c r="A9" s="32" t="s">
        <v>251</v>
      </c>
      <c r="B9" s="42" t="s">
        <v>100</v>
      </c>
      <c r="C9" s="52">
        <v>7</v>
      </c>
      <c r="D9" s="46">
        <v>1</v>
      </c>
      <c r="E9" s="44">
        <v>1</v>
      </c>
      <c r="F9" s="14">
        <f>24970*12</f>
        <v>299640</v>
      </c>
      <c r="G9" s="13">
        <v>1</v>
      </c>
      <c r="H9" s="12">
        <v>1</v>
      </c>
      <c r="I9" s="12">
        <v>1</v>
      </c>
      <c r="J9" s="12" t="s">
        <v>8</v>
      </c>
      <c r="K9" s="12" t="s">
        <v>8</v>
      </c>
      <c r="L9" s="12" t="s">
        <v>8</v>
      </c>
      <c r="M9" s="14">
        <f>(25970-24970)*12</f>
        <v>12000</v>
      </c>
      <c r="N9" s="14">
        <f>(26980-25970)*12</f>
        <v>12120</v>
      </c>
      <c r="O9" s="14">
        <f>(28030-26980)*12</f>
        <v>12600</v>
      </c>
      <c r="P9" s="26">
        <f>F9+M9</f>
        <v>311640</v>
      </c>
      <c r="Q9" s="14">
        <f t="shared" si="0"/>
        <v>323760</v>
      </c>
      <c r="R9" s="27">
        <f t="shared" si="0"/>
        <v>336360</v>
      </c>
      <c r="S9" s="61"/>
    </row>
    <row r="10" spans="1:20" ht="21.75" customHeight="1">
      <c r="A10" s="32" t="s">
        <v>252</v>
      </c>
      <c r="B10" s="42" t="s">
        <v>101</v>
      </c>
      <c r="C10" s="52">
        <v>6</v>
      </c>
      <c r="D10" s="46">
        <v>2</v>
      </c>
      <c r="E10" s="44" t="s">
        <v>8</v>
      </c>
      <c r="F10" s="17" t="s">
        <v>8</v>
      </c>
      <c r="G10" s="13">
        <v>2</v>
      </c>
      <c r="H10" s="12">
        <v>2</v>
      </c>
      <c r="I10" s="12">
        <v>2</v>
      </c>
      <c r="J10" s="185">
        <v>2</v>
      </c>
      <c r="K10" s="12" t="s">
        <v>8</v>
      </c>
      <c r="L10" s="12" t="s">
        <v>8</v>
      </c>
      <c r="M10" s="14">
        <f>23235*12*2</f>
        <v>557640</v>
      </c>
      <c r="N10" s="15">
        <f>10740*2</f>
        <v>21480</v>
      </c>
      <c r="O10" s="26">
        <f>N10</f>
        <v>21480</v>
      </c>
      <c r="P10" s="26">
        <f>M10</f>
        <v>557640</v>
      </c>
      <c r="Q10" s="14">
        <f t="shared" si="0"/>
        <v>579120</v>
      </c>
      <c r="R10" s="27">
        <f t="shared" si="0"/>
        <v>600600</v>
      </c>
      <c r="S10" s="61"/>
    </row>
    <row r="11" spans="1:20" ht="21.75" customHeight="1">
      <c r="A11" s="32" t="s">
        <v>253</v>
      </c>
      <c r="B11" s="42" t="s">
        <v>102</v>
      </c>
      <c r="C11" s="52" t="s">
        <v>67</v>
      </c>
      <c r="D11" s="46">
        <v>2</v>
      </c>
      <c r="E11" s="44">
        <v>2</v>
      </c>
      <c r="F11" s="14">
        <f>556200+(2000*12)</f>
        <v>580200</v>
      </c>
      <c r="G11" s="13">
        <v>2</v>
      </c>
      <c r="H11" s="12">
        <v>2</v>
      </c>
      <c r="I11" s="12">
        <v>2</v>
      </c>
      <c r="J11" s="12" t="s">
        <v>8</v>
      </c>
      <c r="K11" s="12" t="s">
        <v>8</v>
      </c>
      <c r="L11" s="12" t="s">
        <v>8</v>
      </c>
      <c r="M11" s="14">
        <v>21600</v>
      </c>
      <c r="N11" s="15">
        <v>21600</v>
      </c>
      <c r="O11" s="26">
        <v>21720</v>
      </c>
      <c r="P11" s="26">
        <f>F11+M11</f>
        <v>601800</v>
      </c>
      <c r="Q11" s="14">
        <f>P11+N11</f>
        <v>623400</v>
      </c>
      <c r="R11" s="27">
        <f>Q11+O11</f>
        <v>645120</v>
      </c>
      <c r="S11" s="61"/>
    </row>
    <row r="12" spans="1:20" ht="21.75" customHeight="1">
      <c r="A12" s="32" t="s">
        <v>254</v>
      </c>
      <c r="B12" s="42" t="s">
        <v>102</v>
      </c>
      <c r="C12" s="146" t="s">
        <v>220</v>
      </c>
      <c r="D12" s="46">
        <v>2</v>
      </c>
      <c r="E12" s="44" t="s">
        <v>8</v>
      </c>
      <c r="F12" s="14" t="s">
        <v>8</v>
      </c>
      <c r="G12" s="13">
        <v>2</v>
      </c>
      <c r="H12" s="12">
        <v>2</v>
      </c>
      <c r="I12" s="12">
        <v>2</v>
      </c>
      <c r="J12" s="185">
        <v>2</v>
      </c>
      <c r="K12" s="12" t="s">
        <v>8</v>
      </c>
      <c r="L12" s="12" t="s">
        <v>8</v>
      </c>
      <c r="M12" s="14">
        <f>242700*2</f>
        <v>485400</v>
      </c>
      <c r="N12" s="14">
        <f>8580*2</f>
        <v>17160</v>
      </c>
      <c r="O12" s="14">
        <f>8580*2</f>
        <v>17160</v>
      </c>
      <c r="P12" s="26">
        <f>M12</f>
        <v>485400</v>
      </c>
      <c r="Q12" s="14">
        <f>P12+N12</f>
        <v>502560</v>
      </c>
      <c r="R12" s="27">
        <f t="shared" ref="Q12:R16" si="1">Q12+O12</f>
        <v>519720</v>
      </c>
      <c r="S12" s="61"/>
    </row>
    <row r="13" spans="1:20" ht="21.75" customHeight="1">
      <c r="A13" s="32" t="s">
        <v>255</v>
      </c>
      <c r="B13" s="42" t="s">
        <v>103</v>
      </c>
      <c r="C13" s="52">
        <v>4</v>
      </c>
      <c r="D13" s="46">
        <v>1</v>
      </c>
      <c r="E13" s="44">
        <v>1</v>
      </c>
      <c r="F13" s="14">
        <f>19720*12</f>
        <v>236640</v>
      </c>
      <c r="G13" s="13">
        <v>1</v>
      </c>
      <c r="H13" s="12">
        <v>1</v>
      </c>
      <c r="I13" s="12">
        <v>1</v>
      </c>
      <c r="J13" s="12" t="s">
        <v>8</v>
      </c>
      <c r="K13" s="12" t="s">
        <v>8</v>
      </c>
      <c r="L13" s="12" t="s">
        <v>8</v>
      </c>
      <c r="M13" s="14">
        <f>(20360-19720)*12</f>
        <v>7680</v>
      </c>
      <c r="N13" s="14">
        <f>(21020-20360)*12</f>
        <v>7920</v>
      </c>
      <c r="O13" s="14">
        <f>(21700-21020)*12</f>
        <v>8160</v>
      </c>
      <c r="P13" s="26">
        <f t="shared" ref="P13:P16" si="2">F13+M13</f>
        <v>244320</v>
      </c>
      <c r="Q13" s="14">
        <f t="shared" si="1"/>
        <v>252240</v>
      </c>
      <c r="R13" s="27">
        <f t="shared" si="1"/>
        <v>260400</v>
      </c>
      <c r="S13" s="61"/>
      <c r="T13" s="85" t="s">
        <v>303</v>
      </c>
    </row>
    <row r="14" spans="1:20" ht="21.75" customHeight="1">
      <c r="A14" s="32" t="s">
        <v>256</v>
      </c>
      <c r="B14" s="42" t="s">
        <v>104</v>
      </c>
      <c r="C14" s="52">
        <v>4</v>
      </c>
      <c r="D14" s="46">
        <v>1</v>
      </c>
      <c r="E14" s="44">
        <v>1</v>
      </c>
      <c r="F14" s="14">
        <f>19720*12</f>
        <v>236640</v>
      </c>
      <c r="G14" s="13">
        <v>1</v>
      </c>
      <c r="H14" s="12">
        <v>1</v>
      </c>
      <c r="I14" s="12">
        <v>1</v>
      </c>
      <c r="J14" s="12" t="s">
        <v>8</v>
      </c>
      <c r="K14" s="12" t="s">
        <v>8</v>
      </c>
      <c r="L14" s="12" t="s">
        <v>8</v>
      </c>
      <c r="M14" s="14">
        <f>(20360-19720)*12</f>
        <v>7680</v>
      </c>
      <c r="N14" s="14">
        <f>(21020-20360)*12</f>
        <v>7920</v>
      </c>
      <c r="O14" s="14">
        <f>(21700-21020)*12</f>
        <v>8160</v>
      </c>
      <c r="P14" s="26">
        <f t="shared" si="2"/>
        <v>244320</v>
      </c>
      <c r="Q14" s="14">
        <f t="shared" si="1"/>
        <v>252240</v>
      </c>
      <c r="R14" s="27">
        <f t="shared" si="1"/>
        <v>260400</v>
      </c>
      <c r="S14" s="61"/>
    </row>
    <row r="15" spans="1:20" ht="21.75" customHeight="1">
      <c r="A15" s="32" t="s">
        <v>257</v>
      </c>
      <c r="B15" s="42" t="s">
        <v>239</v>
      </c>
      <c r="C15" s="146" t="s">
        <v>217</v>
      </c>
      <c r="D15" s="46">
        <v>1</v>
      </c>
      <c r="E15" s="44" t="s">
        <v>8</v>
      </c>
      <c r="F15" s="14" t="s">
        <v>8</v>
      </c>
      <c r="G15" s="13">
        <v>1</v>
      </c>
      <c r="H15" s="12">
        <v>1</v>
      </c>
      <c r="I15" s="12">
        <v>1</v>
      </c>
      <c r="J15" s="185">
        <v>1</v>
      </c>
      <c r="K15" s="12" t="s">
        <v>8</v>
      </c>
      <c r="L15" s="12" t="s">
        <v>8</v>
      </c>
      <c r="M15" s="14">
        <v>233820</v>
      </c>
      <c r="N15" s="14">
        <v>7080</v>
      </c>
      <c r="O15" s="14">
        <v>7080</v>
      </c>
      <c r="P15" s="26">
        <f>M15</f>
        <v>233820</v>
      </c>
      <c r="Q15" s="14">
        <f>P15+N15</f>
        <v>240900</v>
      </c>
      <c r="R15" s="27">
        <f>Q15+O15</f>
        <v>247980</v>
      </c>
      <c r="S15" s="61"/>
    </row>
    <row r="16" spans="1:20" ht="21.75" customHeight="1">
      <c r="A16" s="32" t="s">
        <v>258</v>
      </c>
      <c r="B16" s="42" t="s">
        <v>236</v>
      </c>
      <c r="C16" s="52">
        <v>4</v>
      </c>
      <c r="D16" s="46">
        <v>1</v>
      </c>
      <c r="E16" s="44">
        <v>1</v>
      </c>
      <c r="F16" s="14">
        <f>13760*12</f>
        <v>165120</v>
      </c>
      <c r="G16" s="13">
        <v>1</v>
      </c>
      <c r="H16" s="12">
        <v>1</v>
      </c>
      <c r="I16" s="12">
        <v>1</v>
      </c>
      <c r="J16" s="12" t="s">
        <v>8</v>
      </c>
      <c r="K16" s="12" t="s">
        <v>8</v>
      </c>
      <c r="L16" s="12" t="s">
        <v>8</v>
      </c>
      <c r="M16" s="14">
        <f>(14310-13760)*12</f>
        <v>6600</v>
      </c>
      <c r="N16" s="14">
        <f>(14850-14310)*12</f>
        <v>6480</v>
      </c>
      <c r="O16" s="14">
        <f>(15440-14850)*12</f>
        <v>7080</v>
      </c>
      <c r="P16" s="26">
        <f t="shared" si="2"/>
        <v>171720</v>
      </c>
      <c r="Q16" s="14">
        <f t="shared" si="1"/>
        <v>178200</v>
      </c>
      <c r="R16" s="27">
        <f t="shared" si="1"/>
        <v>185280</v>
      </c>
      <c r="S16" s="61"/>
    </row>
    <row r="17" spans="1:19" ht="21.75" customHeight="1">
      <c r="A17" s="32" t="s">
        <v>335</v>
      </c>
      <c r="B17" s="42" t="s">
        <v>88</v>
      </c>
      <c r="C17" s="52">
        <v>3</v>
      </c>
      <c r="D17" s="46">
        <v>1</v>
      </c>
      <c r="E17" s="44">
        <v>1</v>
      </c>
      <c r="F17" s="14">
        <f>13570*12</f>
        <v>162840</v>
      </c>
      <c r="G17" s="13">
        <v>1</v>
      </c>
      <c r="H17" s="12">
        <v>1</v>
      </c>
      <c r="I17" s="12">
        <v>1</v>
      </c>
      <c r="J17" s="12" t="s">
        <v>8</v>
      </c>
      <c r="K17" s="12" t="s">
        <v>8</v>
      </c>
      <c r="L17" s="12" t="s">
        <v>8</v>
      </c>
      <c r="M17" s="14">
        <f>(14060-13570)*12</f>
        <v>5880</v>
      </c>
      <c r="N17" s="14">
        <f>(14560-14060)*12</f>
        <v>6000</v>
      </c>
      <c r="O17" s="14">
        <f>(15060-14560)*12</f>
        <v>6000</v>
      </c>
      <c r="P17" s="26">
        <f>F17+M17</f>
        <v>168720</v>
      </c>
      <c r="Q17" s="14">
        <f>P17+N17</f>
        <v>174720</v>
      </c>
      <c r="R17" s="27">
        <f>Q17+O17</f>
        <v>180720</v>
      </c>
      <c r="S17" s="61"/>
    </row>
    <row r="18" spans="1:19" ht="21.75" customHeight="1">
      <c r="A18" s="10"/>
      <c r="B18" s="144" t="s">
        <v>18</v>
      </c>
      <c r="C18" s="52"/>
      <c r="D18" s="46"/>
      <c r="E18" s="44"/>
      <c r="F18" s="14"/>
      <c r="G18" s="13"/>
      <c r="H18" s="12"/>
      <c r="I18" s="12"/>
      <c r="J18" s="12"/>
      <c r="K18" s="12"/>
      <c r="L18" s="12"/>
      <c r="M18" s="14"/>
      <c r="N18" s="15"/>
      <c r="O18" s="26"/>
      <c r="P18" s="26"/>
      <c r="Q18" s="14"/>
      <c r="R18" s="27"/>
      <c r="S18" s="61"/>
    </row>
    <row r="19" spans="1:19" ht="21.75" customHeight="1">
      <c r="A19" s="32" t="s">
        <v>259</v>
      </c>
      <c r="B19" s="42" t="s">
        <v>118</v>
      </c>
      <c r="C19" s="52" t="s">
        <v>8</v>
      </c>
      <c r="D19" s="46">
        <v>2</v>
      </c>
      <c r="E19" s="44">
        <v>2</v>
      </c>
      <c r="F19" s="14">
        <v>392760</v>
      </c>
      <c r="G19" s="13">
        <v>2</v>
      </c>
      <c r="H19" s="12">
        <v>2</v>
      </c>
      <c r="I19" s="12">
        <v>2</v>
      </c>
      <c r="J19" s="12" t="s">
        <v>8</v>
      </c>
      <c r="K19" s="12" t="s">
        <v>8</v>
      </c>
      <c r="L19" s="12" t="s">
        <v>8</v>
      </c>
      <c r="M19" s="14">
        <v>14280</v>
      </c>
      <c r="N19" s="15">
        <v>14520</v>
      </c>
      <c r="O19" s="26">
        <v>16608</v>
      </c>
      <c r="P19" s="26">
        <v>407040</v>
      </c>
      <c r="Q19" s="14">
        <v>421560</v>
      </c>
      <c r="R19" s="27">
        <v>438168</v>
      </c>
      <c r="S19" s="61"/>
    </row>
    <row r="20" spans="1:19" ht="21.75" customHeight="1">
      <c r="A20" s="32" t="s">
        <v>260</v>
      </c>
      <c r="B20" s="42" t="s">
        <v>119</v>
      </c>
      <c r="C20" s="52" t="s">
        <v>8</v>
      </c>
      <c r="D20" s="46">
        <v>1</v>
      </c>
      <c r="E20" s="44">
        <v>1</v>
      </c>
      <c r="F20" s="14">
        <f>13070*12</f>
        <v>156840</v>
      </c>
      <c r="G20" s="13">
        <v>1</v>
      </c>
      <c r="H20" s="12">
        <v>1</v>
      </c>
      <c r="I20" s="12">
        <v>1</v>
      </c>
      <c r="J20" s="12" t="s">
        <v>8</v>
      </c>
      <c r="K20" s="12" t="s">
        <v>8</v>
      </c>
      <c r="L20" s="12" t="s">
        <v>8</v>
      </c>
      <c r="M20" s="14">
        <f>(13760-13070)*12</f>
        <v>8280</v>
      </c>
      <c r="N20" s="14">
        <f>(14310-13760)*12</f>
        <v>6600</v>
      </c>
      <c r="O20" s="14">
        <f>(14850-14310)*12</f>
        <v>6480</v>
      </c>
      <c r="P20" s="26">
        <f>F20+M20</f>
        <v>165120</v>
      </c>
      <c r="Q20" s="14">
        <f t="shared" ref="Q20:R20" si="3">P20+N20</f>
        <v>171720</v>
      </c>
      <c r="R20" s="27">
        <f t="shared" si="3"/>
        <v>178200</v>
      </c>
      <c r="S20" s="61"/>
    </row>
    <row r="21" spans="1:19" ht="21.75" customHeight="1">
      <c r="A21" s="10"/>
      <c r="B21" s="144" t="s">
        <v>62</v>
      </c>
      <c r="C21" s="52"/>
      <c r="D21" s="46"/>
      <c r="E21" s="44"/>
      <c r="F21" s="14"/>
      <c r="G21" s="13"/>
      <c r="H21" s="12"/>
      <c r="I21" s="12"/>
      <c r="J21" s="12"/>
      <c r="K21" s="12"/>
      <c r="L21" s="12"/>
      <c r="M21" s="14"/>
      <c r="N21" s="15"/>
      <c r="O21" s="26"/>
      <c r="P21" s="26"/>
      <c r="Q21" s="14"/>
      <c r="R21" s="27"/>
      <c r="S21" s="61"/>
    </row>
    <row r="22" spans="1:19" ht="21.75" customHeight="1">
      <c r="A22" s="32" t="s">
        <v>261</v>
      </c>
      <c r="B22" s="61" t="s">
        <v>139</v>
      </c>
      <c r="C22" s="52" t="s">
        <v>8</v>
      </c>
      <c r="D22" s="46">
        <v>1</v>
      </c>
      <c r="E22" s="46">
        <v>1</v>
      </c>
      <c r="F22" s="14">
        <f>15270*12</f>
        <v>183240</v>
      </c>
      <c r="G22" s="13">
        <v>1</v>
      </c>
      <c r="H22" s="12">
        <v>1</v>
      </c>
      <c r="I22" s="12">
        <v>1</v>
      </c>
      <c r="J22" s="185" t="s">
        <v>8</v>
      </c>
      <c r="K22" s="185" t="s">
        <v>8</v>
      </c>
      <c r="L22" s="12" t="s">
        <v>8</v>
      </c>
      <c r="M22" s="14">
        <f>620*12</f>
        <v>7440</v>
      </c>
      <c r="N22" s="15">
        <f>640*12</f>
        <v>7680</v>
      </c>
      <c r="O22" s="26">
        <f>670*12</f>
        <v>8040</v>
      </c>
      <c r="P22" s="26">
        <f>F22+M22</f>
        <v>190680</v>
      </c>
      <c r="Q22" s="14">
        <f>P22+N22</f>
        <v>198360</v>
      </c>
      <c r="R22" s="27">
        <f t="shared" ref="Q22:R27" si="4">Q22+O22</f>
        <v>206400</v>
      </c>
      <c r="S22" s="61"/>
    </row>
    <row r="23" spans="1:19" ht="21.75" customHeight="1">
      <c r="A23" s="32" t="s">
        <v>262</v>
      </c>
      <c r="B23" s="42" t="s">
        <v>136</v>
      </c>
      <c r="C23" s="52" t="s">
        <v>8</v>
      </c>
      <c r="D23" s="46">
        <v>1</v>
      </c>
      <c r="E23" s="46">
        <v>1</v>
      </c>
      <c r="F23" s="14">
        <f>13570*12</f>
        <v>162840</v>
      </c>
      <c r="G23" s="13">
        <v>1</v>
      </c>
      <c r="H23" s="12">
        <v>1</v>
      </c>
      <c r="I23" s="12">
        <v>1</v>
      </c>
      <c r="J23" s="12" t="s">
        <v>8</v>
      </c>
      <c r="K23" s="12" t="s">
        <v>8</v>
      </c>
      <c r="L23" s="12" t="s">
        <v>8</v>
      </c>
      <c r="M23" s="14">
        <f>550*12</f>
        <v>6600</v>
      </c>
      <c r="N23" s="15">
        <f>570*12</f>
        <v>6840</v>
      </c>
      <c r="O23" s="26">
        <f>590*12</f>
        <v>7080</v>
      </c>
      <c r="P23" s="26">
        <f t="shared" ref="P23:P27" si="5">F23+M23</f>
        <v>169440</v>
      </c>
      <c r="Q23" s="14">
        <f t="shared" si="4"/>
        <v>176280</v>
      </c>
      <c r="R23" s="27">
        <f t="shared" si="4"/>
        <v>183360</v>
      </c>
      <c r="S23" s="61"/>
    </row>
    <row r="24" spans="1:19" ht="21.75" customHeight="1">
      <c r="A24" s="32" t="s">
        <v>263</v>
      </c>
      <c r="B24" s="42" t="s">
        <v>137</v>
      </c>
      <c r="C24" s="52" t="s">
        <v>8</v>
      </c>
      <c r="D24" s="46">
        <v>1</v>
      </c>
      <c r="E24" s="46">
        <v>1</v>
      </c>
      <c r="F24" s="14">
        <f>13010*12</f>
        <v>156120</v>
      </c>
      <c r="G24" s="13">
        <v>1</v>
      </c>
      <c r="H24" s="12">
        <v>1</v>
      </c>
      <c r="I24" s="12">
        <v>1</v>
      </c>
      <c r="J24" s="12" t="s">
        <v>8</v>
      </c>
      <c r="K24" s="12" t="s">
        <v>8</v>
      </c>
      <c r="L24" s="12" t="s">
        <v>8</v>
      </c>
      <c r="M24" s="14">
        <f>530*12</f>
        <v>6360</v>
      </c>
      <c r="N24" s="15">
        <f>550*12</f>
        <v>6600</v>
      </c>
      <c r="O24" s="26">
        <f>570*12</f>
        <v>6840</v>
      </c>
      <c r="P24" s="26">
        <f t="shared" si="5"/>
        <v>162480</v>
      </c>
      <c r="Q24" s="14">
        <f t="shared" si="4"/>
        <v>169080</v>
      </c>
      <c r="R24" s="27">
        <f t="shared" si="4"/>
        <v>175920</v>
      </c>
      <c r="S24" s="61"/>
    </row>
    <row r="25" spans="1:19" ht="21.75" customHeight="1">
      <c r="A25" s="234" t="s">
        <v>264</v>
      </c>
      <c r="B25" s="232" t="s">
        <v>123</v>
      </c>
      <c r="C25" s="53" t="s">
        <v>8</v>
      </c>
      <c r="D25" s="40">
        <v>1</v>
      </c>
      <c r="E25" s="40">
        <v>1</v>
      </c>
      <c r="F25" s="22">
        <f>9900*12</f>
        <v>118800</v>
      </c>
      <c r="G25" s="21">
        <v>1</v>
      </c>
      <c r="H25" s="20">
        <v>1</v>
      </c>
      <c r="I25" s="20">
        <v>1</v>
      </c>
      <c r="J25" s="20" t="s">
        <v>8</v>
      </c>
      <c r="K25" s="20" t="s">
        <v>8</v>
      </c>
      <c r="L25" s="20" t="s">
        <v>8</v>
      </c>
      <c r="M25" s="22">
        <v>4800</v>
      </c>
      <c r="N25" s="23">
        <v>5040</v>
      </c>
      <c r="O25" s="22">
        <v>5160</v>
      </c>
      <c r="P25" s="23">
        <f t="shared" si="5"/>
        <v>123600</v>
      </c>
      <c r="Q25" s="22">
        <f t="shared" si="4"/>
        <v>128640</v>
      </c>
      <c r="R25" s="22">
        <f t="shared" si="4"/>
        <v>133800</v>
      </c>
      <c r="S25" s="62"/>
    </row>
    <row r="26" spans="1:19" ht="21.75" customHeight="1">
      <c r="A26" s="32" t="s">
        <v>265</v>
      </c>
      <c r="B26" s="42" t="s">
        <v>138</v>
      </c>
      <c r="C26" s="52" t="s">
        <v>8</v>
      </c>
      <c r="D26" s="46">
        <v>1</v>
      </c>
      <c r="E26" s="46">
        <v>1</v>
      </c>
      <c r="F26" s="14">
        <f>11730*12</f>
        <v>140760</v>
      </c>
      <c r="G26" s="13">
        <v>1</v>
      </c>
      <c r="H26" s="12">
        <v>1</v>
      </c>
      <c r="I26" s="12">
        <v>1</v>
      </c>
      <c r="J26" s="12" t="s">
        <v>8</v>
      </c>
      <c r="K26" s="12" t="s">
        <v>8</v>
      </c>
      <c r="L26" s="12" t="s">
        <v>8</v>
      </c>
      <c r="M26" s="14">
        <f>470*12</f>
        <v>5640</v>
      </c>
      <c r="N26" s="15">
        <f>490*12</f>
        <v>5880</v>
      </c>
      <c r="O26" s="26">
        <f>510*12</f>
        <v>6120</v>
      </c>
      <c r="P26" s="26">
        <f t="shared" si="5"/>
        <v>146400</v>
      </c>
      <c r="Q26" s="14">
        <f t="shared" si="4"/>
        <v>152280</v>
      </c>
      <c r="R26" s="27">
        <f t="shared" si="4"/>
        <v>158400</v>
      </c>
      <c r="S26" s="61"/>
    </row>
    <row r="27" spans="1:19" ht="21.75" customHeight="1">
      <c r="A27" s="32" t="s">
        <v>266</v>
      </c>
      <c r="B27" s="42" t="s">
        <v>141</v>
      </c>
      <c r="C27" s="52" t="s">
        <v>8</v>
      </c>
      <c r="D27" s="46">
        <v>1</v>
      </c>
      <c r="E27" s="46">
        <v>1</v>
      </c>
      <c r="F27" s="14">
        <f>17360*12</f>
        <v>208320</v>
      </c>
      <c r="G27" s="13">
        <v>1</v>
      </c>
      <c r="H27" s="12">
        <v>1</v>
      </c>
      <c r="I27" s="12">
        <v>1</v>
      </c>
      <c r="J27" s="12" t="s">
        <v>8</v>
      </c>
      <c r="K27" s="12" t="s">
        <v>8</v>
      </c>
      <c r="L27" s="12" t="s">
        <v>8</v>
      </c>
      <c r="M27" s="14">
        <f>670*12</f>
        <v>8040</v>
      </c>
      <c r="N27" s="15">
        <f>730*12</f>
        <v>8760</v>
      </c>
      <c r="O27" s="26">
        <f>760*12</f>
        <v>9120</v>
      </c>
      <c r="P27" s="14">
        <f t="shared" si="5"/>
        <v>216360</v>
      </c>
      <c r="Q27" s="14">
        <f t="shared" si="4"/>
        <v>225120</v>
      </c>
      <c r="R27" s="14">
        <f t="shared" si="4"/>
        <v>234240</v>
      </c>
      <c r="S27" s="61"/>
    </row>
    <row r="28" spans="1:19" ht="21.75" customHeight="1">
      <c r="A28" s="32" t="s">
        <v>267</v>
      </c>
      <c r="B28" s="42" t="s">
        <v>64</v>
      </c>
      <c r="C28" s="52" t="s">
        <v>8</v>
      </c>
      <c r="D28" s="46">
        <v>8</v>
      </c>
      <c r="E28" s="46">
        <v>7</v>
      </c>
      <c r="F28" s="14">
        <v>892680</v>
      </c>
      <c r="G28" s="13">
        <v>8</v>
      </c>
      <c r="H28" s="12">
        <v>8</v>
      </c>
      <c r="I28" s="12">
        <v>8</v>
      </c>
      <c r="J28" s="185">
        <v>1</v>
      </c>
      <c r="K28" s="12" t="s">
        <v>8</v>
      </c>
      <c r="L28" s="12" t="s">
        <v>8</v>
      </c>
      <c r="M28" s="14">
        <f>36240+(9400*12)</f>
        <v>149040</v>
      </c>
      <c r="N28" s="15">
        <f>37440+4560</f>
        <v>42000</v>
      </c>
      <c r="O28" s="26">
        <f>39000+4800</f>
        <v>43800</v>
      </c>
      <c r="P28" s="26">
        <f>F28+M28</f>
        <v>1041720</v>
      </c>
      <c r="Q28" s="14">
        <f>P28+N28</f>
        <v>1083720</v>
      </c>
      <c r="R28" s="27">
        <f>Q28+P28</f>
        <v>2125440</v>
      </c>
      <c r="S28" s="61"/>
    </row>
    <row r="29" spans="1:19" ht="21.75" customHeight="1">
      <c r="A29" s="32" t="s">
        <v>268</v>
      </c>
      <c r="B29" s="42" t="s">
        <v>119</v>
      </c>
      <c r="C29" s="52" t="s">
        <v>8</v>
      </c>
      <c r="D29" s="46">
        <v>8</v>
      </c>
      <c r="E29" s="46">
        <v>8</v>
      </c>
      <c r="F29" s="14">
        <v>1036560</v>
      </c>
      <c r="G29" s="13">
        <v>8</v>
      </c>
      <c r="H29" s="12">
        <v>8</v>
      </c>
      <c r="I29" s="12">
        <v>8</v>
      </c>
      <c r="J29" s="12" t="s">
        <v>8</v>
      </c>
      <c r="K29" s="12" t="s">
        <v>8</v>
      </c>
      <c r="L29" s="12" t="s">
        <v>8</v>
      </c>
      <c r="M29" s="14">
        <f>41880</f>
        <v>41880</v>
      </c>
      <c r="N29" s="15">
        <f>43680</f>
        <v>43680</v>
      </c>
      <c r="O29" s="26">
        <f>45600</f>
        <v>45600</v>
      </c>
      <c r="P29" s="26">
        <f t="shared" ref="P29" si="6">F29+M29</f>
        <v>1078440</v>
      </c>
      <c r="Q29" s="14">
        <f>P29+N29</f>
        <v>1122120</v>
      </c>
      <c r="R29" s="27">
        <f>Q29+O29</f>
        <v>1167720</v>
      </c>
      <c r="S29" s="61"/>
    </row>
    <row r="30" spans="1:19" ht="21.75" customHeight="1">
      <c r="A30" s="10"/>
      <c r="B30" s="144" t="s">
        <v>63</v>
      </c>
      <c r="C30" s="52"/>
      <c r="D30" s="46"/>
      <c r="E30" s="44"/>
      <c r="F30" s="14"/>
      <c r="G30" s="13"/>
      <c r="H30" s="12"/>
      <c r="I30" s="12"/>
      <c r="J30" s="12"/>
      <c r="K30" s="12"/>
      <c r="L30" s="12"/>
      <c r="M30" s="14"/>
      <c r="N30" s="15"/>
      <c r="O30" s="26"/>
      <c r="P30" s="26"/>
      <c r="Q30" s="14"/>
      <c r="R30" s="27"/>
      <c r="S30" s="61"/>
    </row>
    <row r="31" spans="1:19" ht="21.75" customHeight="1">
      <c r="A31" s="32" t="s">
        <v>269</v>
      </c>
      <c r="B31" s="42" t="s">
        <v>147</v>
      </c>
      <c r="C31" s="52" t="s">
        <v>8</v>
      </c>
      <c r="D31" s="46">
        <v>26</v>
      </c>
      <c r="E31" s="44">
        <v>20</v>
      </c>
      <c r="F31" s="14">
        <f>9000*E31*12</f>
        <v>2160000</v>
      </c>
      <c r="G31" s="13">
        <v>22</v>
      </c>
      <c r="H31" s="12">
        <v>24</v>
      </c>
      <c r="I31" s="12">
        <v>26</v>
      </c>
      <c r="J31" s="185">
        <v>2</v>
      </c>
      <c r="K31" s="185">
        <v>2</v>
      </c>
      <c r="L31" s="185">
        <v>2</v>
      </c>
      <c r="M31" s="14">
        <f>9000*12*2</f>
        <v>216000</v>
      </c>
      <c r="N31" s="14">
        <f>9000*12*2</f>
        <v>216000</v>
      </c>
      <c r="O31" s="14">
        <f>9000*2*12</f>
        <v>216000</v>
      </c>
      <c r="P31" s="26">
        <f>F31+M31</f>
        <v>2376000</v>
      </c>
      <c r="Q31" s="14">
        <f>P31+N31</f>
        <v>2592000</v>
      </c>
      <c r="R31" s="27">
        <f>Q31+O31</f>
        <v>2808000</v>
      </c>
      <c r="S31" s="61"/>
    </row>
    <row r="32" spans="1:19" ht="21.75" customHeight="1">
      <c r="A32" s="18"/>
      <c r="B32" s="147"/>
      <c r="C32" s="53"/>
      <c r="D32" s="40"/>
      <c r="E32" s="238"/>
      <c r="F32" s="22"/>
      <c r="G32" s="21"/>
      <c r="H32" s="20"/>
      <c r="I32" s="20"/>
      <c r="J32" s="20"/>
      <c r="K32" s="20"/>
      <c r="L32" s="20"/>
      <c r="M32" s="22"/>
      <c r="N32" s="23"/>
      <c r="O32" s="28"/>
      <c r="P32" s="28"/>
      <c r="Q32" s="22"/>
      <c r="R32" s="29"/>
      <c r="S32" s="62"/>
    </row>
    <row r="33" spans="1:20" s="25" customFormat="1" ht="21.75" customHeight="1">
      <c r="A33" s="24"/>
      <c r="B33" s="47" t="s">
        <v>9</v>
      </c>
      <c r="C33" s="53"/>
      <c r="D33" s="43">
        <f>SUM(D8:D32)</f>
        <v>64</v>
      </c>
      <c r="E33" s="43">
        <f>SUM(E8:E32)</f>
        <v>52</v>
      </c>
      <c r="F33" s="20">
        <f>SUM(F8:F32)</f>
        <v>7911120</v>
      </c>
      <c r="G33" s="43">
        <f t="shared" ref="G33" si="7">SUM(G8:G32)</f>
        <v>60</v>
      </c>
      <c r="H33" s="43">
        <f t="shared" ref="H33" si="8">SUM(H8:H32)</f>
        <v>62</v>
      </c>
      <c r="I33" s="43">
        <f t="shared" ref="I33:L33" si="9">SUM(I8:I32)</f>
        <v>64</v>
      </c>
      <c r="J33" s="189">
        <f t="shared" si="9"/>
        <v>8</v>
      </c>
      <c r="K33" s="189">
        <f t="shared" si="9"/>
        <v>2</v>
      </c>
      <c r="L33" s="189">
        <f t="shared" si="9"/>
        <v>2</v>
      </c>
      <c r="M33" s="43">
        <f>SUM(M8:M32)</f>
        <v>1823100</v>
      </c>
      <c r="N33" s="43">
        <f>SUM(N8:N32)</f>
        <v>487800</v>
      </c>
      <c r="O33" s="43">
        <f t="shared" ref="O33:R33" si="10">SUM(O8:O32)</f>
        <v>499848</v>
      </c>
      <c r="P33" s="43">
        <f>SUM(P8:P32)</f>
        <v>9734220</v>
      </c>
      <c r="Q33" s="43">
        <f t="shared" si="10"/>
        <v>10222020</v>
      </c>
      <c r="R33" s="43">
        <f t="shared" si="10"/>
        <v>11719788</v>
      </c>
      <c r="S33" s="63"/>
    </row>
    <row r="34" spans="1:20" s="25" customFormat="1" ht="21.75" customHeight="1">
      <c r="A34" s="13"/>
      <c r="B34" s="71"/>
      <c r="C34" s="52"/>
      <c r="D34" s="71"/>
      <c r="E34" s="71"/>
      <c r="F34" s="13"/>
      <c r="G34" s="13"/>
      <c r="H34" s="13"/>
      <c r="I34" s="13"/>
      <c r="J34" s="72"/>
      <c r="K34" s="72"/>
      <c r="L34" s="72"/>
      <c r="M34" s="71"/>
      <c r="N34" s="71"/>
      <c r="O34" s="71"/>
      <c r="P34" s="71"/>
      <c r="Q34" s="71"/>
      <c r="R34" s="71"/>
      <c r="S34" s="73"/>
    </row>
    <row r="35" spans="1:20" s="25" customFormat="1" ht="21.75" customHeight="1">
      <c r="A35" s="13"/>
      <c r="B35" s="71"/>
      <c r="C35" s="52"/>
      <c r="D35" s="71"/>
      <c r="E35" s="71"/>
      <c r="F35" s="13"/>
      <c r="G35" s="13"/>
      <c r="H35" s="13"/>
      <c r="I35" s="13"/>
      <c r="J35" s="72"/>
      <c r="K35" s="72"/>
      <c r="L35" s="72"/>
      <c r="M35" s="71"/>
      <c r="N35" s="71"/>
      <c r="O35" s="71"/>
      <c r="P35" s="71"/>
      <c r="Q35" s="71"/>
      <c r="R35" s="71"/>
      <c r="S35" s="73"/>
      <c r="T35" s="85" t="s">
        <v>304</v>
      </c>
    </row>
    <row r="36" spans="1:20" s="33" customFormat="1" ht="21.75" customHeight="1">
      <c r="A36" s="11"/>
      <c r="B36" s="48"/>
      <c r="C36" s="52"/>
      <c r="D36" s="44"/>
      <c r="E36" s="44"/>
      <c r="F36" s="34"/>
      <c r="G36" s="11"/>
      <c r="H36" s="11"/>
      <c r="I36" s="11"/>
      <c r="J36" s="11"/>
      <c r="K36" s="11"/>
      <c r="L36" s="11"/>
      <c r="M36" s="34"/>
      <c r="N36" s="34"/>
      <c r="O36" s="34"/>
      <c r="P36" s="34"/>
      <c r="Q36" s="34"/>
      <c r="R36" s="34"/>
    </row>
    <row r="37" spans="1:20" s="33" customFormat="1" ht="21.75" customHeight="1">
      <c r="A37" s="11"/>
      <c r="B37" s="48"/>
      <c r="C37" s="52"/>
      <c r="D37" s="44"/>
      <c r="E37" s="44"/>
      <c r="F37" s="34"/>
      <c r="G37" s="11"/>
      <c r="H37" s="11"/>
      <c r="I37" s="11"/>
      <c r="J37" s="11"/>
      <c r="K37" s="11"/>
      <c r="L37" s="11"/>
      <c r="M37" s="34"/>
      <c r="N37" s="34"/>
      <c r="O37" s="34"/>
      <c r="P37" s="34"/>
      <c r="Q37" s="34"/>
      <c r="R37" s="35"/>
    </row>
    <row r="38" spans="1:20" s="33" customFormat="1" ht="21.75" customHeight="1">
      <c r="A38" s="11"/>
      <c r="B38" s="48"/>
      <c r="C38" s="52"/>
      <c r="D38" s="44"/>
      <c r="E38" s="44"/>
      <c r="F38" s="34"/>
      <c r="G38" s="11"/>
      <c r="H38" s="11"/>
      <c r="I38" s="11"/>
      <c r="J38" s="11"/>
      <c r="K38" s="11"/>
      <c r="L38" s="11"/>
      <c r="M38" s="34"/>
      <c r="N38" s="34"/>
      <c r="O38" s="34"/>
      <c r="P38" s="34"/>
      <c r="Q38" s="34"/>
      <c r="R38" s="35"/>
    </row>
    <row r="39" spans="1:20" ht="21.75" customHeight="1">
      <c r="A39" s="11"/>
      <c r="B39" s="48"/>
      <c r="C39" s="52"/>
      <c r="D39" s="44"/>
      <c r="E39" s="44"/>
      <c r="F39" s="34"/>
      <c r="G39" s="11"/>
      <c r="H39" s="11"/>
      <c r="I39" s="11"/>
      <c r="J39" s="11"/>
      <c r="K39" s="11"/>
      <c r="L39" s="11"/>
      <c r="M39" s="35"/>
      <c r="N39" s="35"/>
      <c r="O39" s="35"/>
      <c r="P39" s="35"/>
      <c r="Q39" s="35"/>
      <c r="R39" s="35"/>
    </row>
    <row r="40" spans="1:20" ht="21.75" customHeight="1">
      <c r="A40" s="11"/>
      <c r="B40" s="48"/>
      <c r="C40" s="57"/>
      <c r="D40" s="44"/>
      <c r="E40" s="44"/>
      <c r="F40" s="34"/>
      <c r="G40" s="11"/>
      <c r="H40" s="11"/>
      <c r="I40" s="11"/>
      <c r="J40" s="11"/>
      <c r="K40" s="11"/>
      <c r="L40" s="11"/>
      <c r="M40" s="35"/>
      <c r="N40" s="35"/>
      <c r="O40" s="35"/>
      <c r="P40" s="35"/>
      <c r="Q40" s="35"/>
      <c r="R40" s="35"/>
    </row>
    <row r="41" spans="1:20" ht="21.75" customHeight="1">
      <c r="A41" s="11"/>
      <c r="B41" s="44"/>
      <c r="C41" s="52"/>
      <c r="D41" s="44"/>
      <c r="E41" s="44"/>
      <c r="F41" s="35"/>
      <c r="G41" s="11"/>
      <c r="H41" s="11"/>
      <c r="I41" s="11"/>
      <c r="J41" s="11"/>
      <c r="K41" s="11"/>
      <c r="L41" s="11"/>
      <c r="M41" s="35"/>
      <c r="N41" s="35"/>
      <c r="O41" s="35"/>
      <c r="P41" s="35"/>
      <c r="Q41" s="35"/>
      <c r="R41" s="35"/>
    </row>
  </sheetData>
  <mergeCells count="9">
    <mergeCell ref="A1:R1"/>
    <mergeCell ref="A2:R2"/>
    <mergeCell ref="A3:R3"/>
    <mergeCell ref="E4:F5"/>
    <mergeCell ref="G4:I4"/>
    <mergeCell ref="J4:L4"/>
    <mergeCell ref="P4:R4"/>
    <mergeCell ref="G5:I5"/>
    <mergeCell ref="J5:L5"/>
  </mergeCells>
  <pageMargins left="0.28000000000000003" right="0.15748031496062992" top="0.55000000000000004" bottom="0.62" header="0.31496062992125984" footer="0.15748031496062992"/>
  <pageSetup paperSize="9" orientation="landscape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T36"/>
  <sheetViews>
    <sheetView view="pageBreakPreview" topLeftCell="A4" workbookViewId="0">
      <selection activeCell="L13" sqref="L13"/>
    </sheetView>
  </sheetViews>
  <sheetFormatPr defaultRowHeight="21.75" customHeight="1"/>
  <cols>
    <col min="1" max="1" width="3.7109375" style="38" customWidth="1"/>
    <col min="2" max="2" width="21.7109375" style="49" customWidth="1"/>
    <col min="3" max="3" width="6" style="58" customWidth="1"/>
    <col min="4" max="4" width="5.7109375" style="49" customWidth="1"/>
    <col min="5" max="5" width="7.85546875" style="49" customWidth="1"/>
    <col min="6" max="6" width="8.85546875" style="5" customWidth="1"/>
    <col min="7" max="12" width="6.28515625" style="5" customWidth="1"/>
    <col min="13" max="15" width="8.28515625" style="5" customWidth="1"/>
    <col min="16" max="18" width="8.7109375" style="5" customWidth="1"/>
    <col min="19" max="19" width="7.28515625" style="5" customWidth="1"/>
    <col min="20" max="20" width="4" style="5" customWidth="1"/>
    <col min="21" max="16384" width="9.140625" style="5"/>
  </cols>
  <sheetData>
    <row r="1" spans="1:20" s="1" customFormat="1" ht="21.75" customHeight="1">
      <c r="A1" s="267" t="s">
        <v>298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20" s="1" customFormat="1" ht="21.75" customHeight="1">
      <c r="A2" s="267" t="s">
        <v>30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20" s="1" customFormat="1" ht="21.75" customHeight="1">
      <c r="A3" s="268" t="s">
        <v>19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ht="21.75" customHeight="1">
      <c r="A4" s="2" t="s">
        <v>0</v>
      </c>
      <c r="B4" s="39" t="s">
        <v>1</v>
      </c>
      <c r="C4" s="65" t="s">
        <v>2</v>
      </c>
      <c r="D4" s="106" t="s">
        <v>4</v>
      </c>
      <c r="E4" s="269" t="s">
        <v>38</v>
      </c>
      <c r="F4" s="270"/>
      <c r="G4" s="273" t="s">
        <v>39</v>
      </c>
      <c r="H4" s="274"/>
      <c r="I4" s="275"/>
      <c r="J4" s="273" t="s">
        <v>44</v>
      </c>
      <c r="K4" s="274"/>
      <c r="L4" s="275"/>
      <c r="M4" s="3"/>
      <c r="N4" s="240" t="s">
        <v>7</v>
      </c>
      <c r="O4" s="4"/>
      <c r="P4" s="273" t="s">
        <v>6</v>
      </c>
      <c r="Q4" s="274"/>
      <c r="R4" s="275"/>
      <c r="S4" s="2" t="s">
        <v>42</v>
      </c>
    </row>
    <row r="5" spans="1:20" ht="21.75" customHeight="1">
      <c r="A5" s="17"/>
      <c r="B5" s="46"/>
      <c r="C5" s="66" t="s">
        <v>3</v>
      </c>
      <c r="D5" s="110" t="s">
        <v>5</v>
      </c>
      <c r="E5" s="271"/>
      <c r="F5" s="272"/>
      <c r="G5" s="276" t="s">
        <v>40</v>
      </c>
      <c r="H5" s="277"/>
      <c r="I5" s="278"/>
      <c r="J5" s="276" t="s">
        <v>45</v>
      </c>
      <c r="K5" s="277"/>
      <c r="L5" s="278"/>
      <c r="M5" s="59"/>
      <c r="N5" s="19"/>
      <c r="O5" s="60"/>
      <c r="P5" s="59"/>
      <c r="Q5" s="19"/>
      <c r="R5" s="60"/>
      <c r="S5" s="61"/>
    </row>
    <row r="6" spans="1:20" ht="21.75" customHeight="1">
      <c r="A6" s="6"/>
      <c r="B6" s="40"/>
      <c r="C6" s="50"/>
      <c r="D6" s="40"/>
      <c r="E6" s="114" t="s">
        <v>43</v>
      </c>
      <c r="F6" s="67" t="s">
        <v>41</v>
      </c>
      <c r="G6" s="7">
        <v>2558</v>
      </c>
      <c r="H6" s="7">
        <v>2559</v>
      </c>
      <c r="I6" s="7">
        <v>2560</v>
      </c>
      <c r="J6" s="7">
        <v>2558</v>
      </c>
      <c r="K6" s="7">
        <v>2559</v>
      </c>
      <c r="L6" s="7">
        <v>2560</v>
      </c>
      <c r="M6" s="7">
        <v>2558</v>
      </c>
      <c r="N6" s="7">
        <v>2559</v>
      </c>
      <c r="O6" s="7">
        <v>2560</v>
      </c>
      <c r="P6" s="7">
        <v>2558</v>
      </c>
      <c r="Q6" s="7">
        <v>2559</v>
      </c>
      <c r="R6" s="7">
        <v>2560</v>
      </c>
      <c r="S6" s="62"/>
    </row>
    <row r="7" spans="1:20" ht="21.75" customHeight="1">
      <c r="A7" s="239"/>
      <c r="B7" s="143" t="s">
        <v>61</v>
      </c>
      <c r="C7" s="51"/>
      <c r="D7" s="39"/>
      <c r="E7" s="141"/>
      <c r="F7" s="142"/>
      <c r="G7" s="240"/>
      <c r="H7" s="2"/>
      <c r="I7" s="2"/>
      <c r="J7" s="2"/>
      <c r="K7" s="2"/>
      <c r="L7" s="2"/>
      <c r="M7" s="2"/>
      <c r="N7" s="2"/>
      <c r="O7" s="2"/>
      <c r="P7" s="239"/>
      <c r="Q7" s="2"/>
      <c r="R7" s="241"/>
      <c r="S7" s="64"/>
    </row>
    <row r="8" spans="1:20" ht="21.75" customHeight="1">
      <c r="A8" s="32" t="s">
        <v>270</v>
      </c>
      <c r="B8" s="41" t="s">
        <v>78</v>
      </c>
      <c r="C8" s="52">
        <v>8</v>
      </c>
      <c r="D8" s="46">
        <v>1</v>
      </c>
      <c r="E8" s="44">
        <v>1</v>
      </c>
      <c r="F8" s="31">
        <f>38500*12+(11200*12)</f>
        <v>596400</v>
      </c>
      <c r="G8" s="13">
        <v>1</v>
      </c>
      <c r="H8" s="12">
        <v>1</v>
      </c>
      <c r="I8" s="12">
        <v>1</v>
      </c>
      <c r="J8" s="12" t="s">
        <v>8</v>
      </c>
      <c r="K8" s="12" t="s">
        <v>8</v>
      </c>
      <c r="L8" s="12" t="s">
        <v>8</v>
      </c>
      <c r="M8" s="14">
        <f>(39880-38500)*12</f>
        <v>16560</v>
      </c>
      <c r="N8" s="14">
        <f>(41250-39880)*12</f>
        <v>16440</v>
      </c>
      <c r="O8" s="14">
        <f>(42620-41250)*12</f>
        <v>16440</v>
      </c>
      <c r="P8" s="26">
        <f>F8+M8</f>
        <v>612960</v>
      </c>
      <c r="Q8" s="14">
        <f>P8+N8</f>
        <v>629400</v>
      </c>
      <c r="R8" s="27">
        <f>Q8+O8</f>
        <v>645840</v>
      </c>
      <c r="S8" s="61"/>
    </row>
    <row r="9" spans="1:20" ht="21.75" customHeight="1">
      <c r="A9" s="32" t="s">
        <v>271</v>
      </c>
      <c r="B9" s="41" t="s">
        <v>79</v>
      </c>
      <c r="C9" s="52">
        <v>7</v>
      </c>
      <c r="D9" s="46">
        <v>2</v>
      </c>
      <c r="E9" s="44">
        <v>2</v>
      </c>
      <c r="F9" s="14">
        <v>618960</v>
      </c>
      <c r="G9" s="13">
        <v>2</v>
      </c>
      <c r="H9" s="12">
        <v>2</v>
      </c>
      <c r="I9" s="12">
        <v>2</v>
      </c>
      <c r="J9" s="12" t="s">
        <v>8</v>
      </c>
      <c r="K9" s="12" t="s">
        <v>8</v>
      </c>
      <c r="L9" s="12" t="s">
        <v>8</v>
      </c>
      <c r="M9" s="14">
        <v>24240</v>
      </c>
      <c r="N9" s="14">
        <v>25080</v>
      </c>
      <c r="O9" s="14">
        <v>25320</v>
      </c>
      <c r="P9" s="26">
        <v>643200</v>
      </c>
      <c r="Q9" s="14">
        <v>668280</v>
      </c>
      <c r="R9" s="27">
        <v>693600</v>
      </c>
      <c r="S9" s="61"/>
    </row>
    <row r="10" spans="1:20" ht="21.75" customHeight="1">
      <c r="A10" s="32" t="s">
        <v>272</v>
      </c>
      <c r="B10" s="41" t="s">
        <v>105</v>
      </c>
      <c r="C10" s="52">
        <v>6</v>
      </c>
      <c r="D10" s="46">
        <v>1</v>
      </c>
      <c r="E10" s="44">
        <v>1</v>
      </c>
      <c r="F10" s="14">
        <f>22920*12</f>
        <v>275040</v>
      </c>
      <c r="G10" s="13">
        <v>1</v>
      </c>
      <c r="H10" s="12">
        <v>1</v>
      </c>
      <c r="I10" s="12">
        <v>1</v>
      </c>
      <c r="J10" s="12" t="s">
        <v>8</v>
      </c>
      <c r="K10" s="12" t="s">
        <v>8</v>
      </c>
      <c r="L10" s="12" t="s">
        <v>8</v>
      </c>
      <c r="M10" s="14">
        <f>(23820-22920)*12</f>
        <v>10800</v>
      </c>
      <c r="N10" s="14">
        <f>(24730-23820)*12</f>
        <v>10920</v>
      </c>
      <c r="O10" s="14">
        <f>(25660-24730)*12</f>
        <v>11160</v>
      </c>
      <c r="P10" s="26">
        <f t="shared" ref="P10:P15" si="0">F10+M10</f>
        <v>285840</v>
      </c>
      <c r="Q10" s="14">
        <f t="shared" ref="Q10:R15" si="1">P10+N10</f>
        <v>296760</v>
      </c>
      <c r="R10" s="27">
        <f t="shared" si="1"/>
        <v>307920</v>
      </c>
      <c r="S10" s="61"/>
    </row>
    <row r="11" spans="1:20" ht="21.75" customHeight="1">
      <c r="A11" s="32" t="s">
        <v>273</v>
      </c>
      <c r="B11" s="41" t="s">
        <v>106</v>
      </c>
      <c r="C11" s="52">
        <v>5</v>
      </c>
      <c r="D11" s="46">
        <v>1</v>
      </c>
      <c r="E11" s="44">
        <v>1</v>
      </c>
      <c r="F11" s="14">
        <f>16880*12</f>
        <v>202560</v>
      </c>
      <c r="G11" s="17">
        <v>1</v>
      </c>
      <c r="H11" s="17">
        <v>1</v>
      </c>
      <c r="I11" s="17">
        <v>1</v>
      </c>
      <c r="J11" s="12" t="s">
        <v>8</v>
      </c>
      <c r="K11" s="12" t="s">
        <v>8</v>
      </c>
      <c r="L11" s="17" t="s">
        <v>8</v>
      </c>
      <c r="M11" s="12">
        <v>8040</v>
      </c>
      <c r="N11" s="12">
        <v>8160</v>
      </c>
      <c r="O11" s="12">
        <v>8640</v>
      </c>
      <c r="P11" s="26">
        <f t="shared" si="0"/>
        <v>210600</v>
      </c>
      <c r="Q11" s="14">
        <f t="shared" si="1"/>
        <v>218760</v>
      </c>
      <c r="R11" s="27">
        <f t="shared" si="1"/>
        <v>227400</v>
      </c>
      <c r="S11" s="61"/>
    </row>
    <row r="12" spans="1:20" ht="21.75" customHeight="1">
      <c r="A12" s="32" t="s">
        <v>274</v>
      </c>
      <c r="B12" s="41" t="s">
        <v>106</v>
      </c>
      <c r="C12" s="52">
        <v>4</v>
      </c>
      <c r="D12" s="46">
        <v>1</v>
      </c>
      <c r="E12" s="44">
        <v>1</v>
      </c>
      <c r="F12" s="14">
        <f>16650*12</f>
        <v>199800</v>
      </c>
      <c r="G12" s="11">
        <v>1</v>
      </c>
      <c r="H12" s="17">
        <v>1</v>
      </c>
      <c r="I12" s="17">
        <v>1</v>
      </c>
      <c r="J12" s="17" t="s">
        <v>8</v>
      </c>
      <c r="K12" s="17" t="s">
        <v>8</v>
      </c>
      <c r="L12" s="17" t="s">
        <v>8</v>
      </c>
      <c r="M12" s="12">
        <v>7440</v>
      </c>
      <c r="N12" s="12">
        <v>7320</v>
      </c>
      <c r="O12" s="12">
        <v>7200</v>
      </c>
      <c r="P12" s="26">
        <f t="shared" si="0"/>
        <v>207240</v>
      </c>
      <c r="Q12" s="14">
        <f t="shared" si="1"/>
        <v>214560</v>
      </c>
      <c r="R12" s="27">
        <f t="shared" si="1"/>
        <v>221760</v>
      </c>
      <c r="S12" s="61"/>
    </row>
    <row r="13" spans="1:20" ht="21.75" customHeight="1">
      <c r="A13" s="32" t="s">
        <v>275</v>
      </c>
      <c r="B13" s="41" t="s">
        <v>107</v>
      </c>
      <c r="C13" s="52">
        <v>5</v>
      </c>
      <c r="D13" s="46">
        <v>1</v>
      </c>
      <c r="E13" s="44">
        <v>1</v>
      </c>
      <c r="F13" s="14">
        <f>21880*12</f>
        <v>262560</v>
      </c>
      <c r="G13" s="13">
        <v>1</v>
      </c>
      <c r="H13" s="12">
        <v>1</v>
      </c>
      <c r="I13" s="12">
        <v>1</v>
      </c>
      <c r="J13" s="12" t="s">
        <v>8</v>
      </c>
      <c r="K13" s="12" t="s">
        <v>8</v>
      </c>
      <c r="L13" s="12" t="s">
        <v>8</v>
      </c>
      <c r="M13" s="12">
        <f>(22600-21880)*12</f>
        <v>8640</v>
      </c>
      <c r="N13" s="12">
        <f>(23340-22600)*12</f>
        <v>8880</v>
      </c>
      <c r="O13" s="12">
        <f>(24090-23340)*12</f>
        <v>9000</v>
      </c>
      <c r="P13" s="26">
        <f t="shared" si="0"/>
        <v>271200</v>
      </c>
      <c r="Q13" s="14">
        <f t="shared" si="1"/>
        <v>280080</v>
      </c>
      <c r="R13" s="27">
        <f t="shared" si="1"/>
        <v>289080</v>
      </c>
      <c r="S13" s="61"/>
      <c r="T13" s="85" t="s">
        <v>305</v>
      </c>
    </row>
    <row r="14" spans="1:20" ht="21.75" customHeight="1">
      <c r="A14" s="32" t="s">
        <v>276</v>
      </c>
      <c r="B14" s="41" t="s">
        <v>89</v>
      </c>
      <c r="C14" s="52">
        <v>5</v>
      </c>
      <c r="D14" s="46">
        <v>1</v>
      </c>
      <c r="E14" s="44">
        <v>1</v>
      </c>
      <c r="F14" s="14">
        <f>17200*12</f>
        <v>206400</v>
      </c>
      <c r="G14" s="11">
        <v>1</v>
      </c>
      <c r="H14" s="17">
        <v>1</v>
      </c>
      <c r="I14" s="17">
        <v>1</v>
      </c>
      <c r="J14" s="17" t="s">
        <v>8</v>
      </c>
      <c r="K14" s="17" t="s">
        <v>8</v>
      </c>
      <c r="L14" s="12" t="s">
        <v>8</v>
      </c>
      <c r="M14" s="14">
        <v>8280</v>
      </c>
      <c r="N14" s="14">
        <v>8400</v>
      </c>
      <c r="O14" s="14">
        <v>8520</v>
      </c>
      <c r="P14" s="26">
        <f t="shared" si="0"/>
        <v>214680</v>
      </c>
      <c r="Q14" s="14">
        <f t="shared" si="1"/>
        <v>223080</v>
      </c>
      <c r="R14" s="27">
        <f t="shared" si="1"/>
        <v>231600</v>
      </c>
      <c r="S14" s="61"/>
    </row>
    <row r="15" spans="1:20" ht="21.75" customHeight="1">
      <c r="A15" s="32" t="s">
        <v>277</v>
      </c>
      <c r="B15" s="41" t="s">
        <v>232</v>
      </c>
      <c r="C15" s="52">
        <v>6</v>
      </c>
      <c r="D15" s="46">
        <v>1</v>
      </c>
      <c r="E15" s="44">
        <v>1</v>
      </c>
      <c r="F15" s="14">
        <f>22490*12</f>
        <v>269880</v>
      </c>
      <c r="G15" s="13">
        <v>1</v>
      </c>
      <c r="H15" s="12">
        <v>1</v>
      </c>
      <c r="I15" s="12">
        <v>1</v>
      </c>
      <c r="J15" s="17" t="s">
        <v>8</v>
      </c>
      <c r="K15" s="12" t="s">
        <v>8</v>
      </c>
      <c r="L15" s="12" t="s">
        <v>8</v>
      </c>
      <c r="M15" s="14">
        <f>(23370-22490)*12</f>
        <v>10560</v>
      </c>
      <c r="N15" s="14">
        <f>(24270-23370)*12</f>
        <v>10800</v>
      </c>
      <c r="O15" s="14">
        <f>(25190-24270)*12</f>
        <v>11040</v>
      </c>
      <c r="P15" s="26">
        <f t="shared" si="0"/>
        <v>280440</v>
      </c>
      <c r="Q15" s="14">
        <f t="shared" si="1"/>
        <v>291240</v>
      </c>
      <c r="R15" s="27">
        <f t="shared" si="1"/>
        <v>302280</v>
      </c>
      <c r="S15" s="61"/>
      <c r="T15" s="85"/>
    </row>
    <row r="16" spans="1:20" s="153" customFormat="1" ht="21.75" customHeight="1">
      <c r="A16" s="32" t="s">
        <v>278</v>
      </c>
      <c r="B16" s="41" t="s">
        <v>233</v>
      </c>
      <c r="C16" s="146" t="s">
        <v>220</v>
      </c>
      <c r="D16" s="46">
        <v>1</v>
      </c>
      <c r="E16" s="46" t="s">
        <v>8</v>
      </c>
      <c r="F16" s="17" t="s">
        <v>8</v>
      </c>
      <c r="G16" s="17">
        <v>1</v>
      </c>
      <c r="H16" s="17">
        <v>1</v>
      </c>
      <c r="I16" s="17">
        <v>1</v>
      </c>
      <c r="J16" s="185">
        <v>1</v>
      </c>
      <c r="K16" s="12" t="s">
        <v>8</v>
      </c>
      <c r="L16" s="17" t="s">
        <v>8</v>
      </c>
      <c r="M16" s="14">
        <v>242700</v>
      </c>
      <c r="N16" s="14">
        <f>8580</f>
        <v>8580</v>
      </c>
      <c r="O16" s="14">
        <f>8580</f>
        <v>8580</v>
      </c>
      <c r="P16" s="12">
        <f>M16</f>
        <v>242700</v>
      </c>
      <c r="Q16" s="12">
        <f>P16+N16</f>
        <v>251280</v>
      </c>
      <c r="R16" s="14">
        <f>Q16+O16</f>
        <v>259860</v>
      </c>
      <c r="S16" s="61"/>
      <c r="T16" s="5"/>
    </row>
    <row r="17" spans="1:19" ht="21.75" customHeight="1">
      <c r="A17" s="10"/>
      <c r="B17" s="144" t="s">
        <v>62</v>
      </c>
      <c r="C17" s="52"/>
      <c r="D17" s="46"/>
      <c r="E17" s="44"/>
      <c r="F17" s="14"/>
      <c r="G17" s="13"/>
      <c r="H17" s="12"/>
      <c r="I17" s="12"/>
      <c r="J17" s="12"/>
      <c r="K17" s="12"/>
      <c r="L17" s="12"/>
      <c r="M17" s="14"/>
      <c r="N17" s="14"/>
      <c r="O17" s="14"/>
      <c r="P17" s="26"/>
      <c r="Q17" s="14"/>
      <c r="R17" s="27"/>
      <c r="S17" s="61"/>
    </row>
    <row r="18" spans="1:19" ht="21.75" customHeight="1">
      <c r="A18" s="32" t="s">
        <v>279</v>
      </c>
      <c r="B18" s="42" t="s">
        <v>142</v>
      </c>
      <c r="C18" s="52" t="s">
        <v>8</v>
      </c>
      <c r="D18" s="46">
        <v>1</v>
      </c>
      <c r="E18" s="46">
        <v>1</v>
      </c>
      <c r="F18" s="14">
        <f>16910*12</f>
        <v>202920</v>
      </c>
      <c r="G18" s="13">
        <v>1</v>
      </c>
      <c r="H18" s="12">
        <v>1</v>
      </c>
      <c r="I18" s="12">
        <v>1</v>
      </c>
      <c r="J18" s="12" t="s">
        <v>8</v>
      </c>
      <c r="K18" s="12" t="s">
        <v>8</v>
      </c>
      <c r="L18" s="12" t="s">
        <v>8</v>
      </c>
      <c r="M18" s="14">
        <v>8160</v>
      </c>
      <c r="N18" s="14">
        <f>8520</f>
        <v>8520</v>
      </c>
      <c r="O18" s="14">
        <f>8880</f>
        <v>8880</v>
      </c>
      <c r="P18" s="14">
        <f>F18+M18</f>
        <v>211080</v>
      </c>
      <c r="Q18" s="14">
        <f>P18+N18</f>
        <v>219600</v>
      </c>
      <c r="R18" s="27">
        <f>Q18+O18</f>
        <v>228480</v>
      </c>
      <c r="S18" s="61"/>
    </row>
    <row r="19" spans="1:19" ht="21.75" customHeight="1">
      <c r="A19" s="32" t="s">
        <v>280</v>
      </c>
      <c r="B19" s="42" t="s">
        <v>143</v>
      </c>
      <c r="C19" s="52" t="s">
        <v>8</v>
      </c>
      <c r="D19" s="46">
        <v>2</v>
      </c>
      <c r="E19" s="46">
        <v>2</v>
      </c>
      <c r="F19" s="14">
        <f>15000*12+(15540*12)</f>
        <v>366480</v>
      </c>
      <c r="G19" s="13">
        <v>2</v>
      </c>
      <c r="H19" s="12">
        <v>2</v>
      </c>
      <c r="I19" s="12">
        <v>2</v>
      </c>
      <c r="J19" s="12" t="s">
        <v>8</v>
      </c>
      <c r="K19" s="12" t="s">
        <v>8</v>
      </c>
      <c r="L19" s="12" t="s">
        <v>8</v>
      </c>
      <c r="M19" s="14">
        <f>7200+7560</f>
        <v>14760</v>
      </c>
      <c r="N19" s="15">
        <f>7560+7800</f>
        <v>15360</v>
      </c>
      <c r="O19" s="26">
        <f>7800+8160</f>
        <v>15960</v>
      </c>
      <c r="P19" s="14">
        <f>F19+M19</f>
        <v>381240</v>
      </c>
      <c r="Q19" s="14">
        <f t="shared" ref="Q19:R20" si="2">P19+N19</f>
        <v>396600</v>
      </c>
      <c r="R19" s="27">
        <f t="shared" si="2"/>
        <v>412560</v>
      </c>
      <c r="S19" s="61"/>
    </row>
    <row r="20" spans="1:19" ht="21.75" customHeight="1">
      <c r="A20" s="32" t="s">
        <v>309</v>
      </c>
      <c r="B20" s="42" t="s">
        <v>137</v>
      </c>
      <c r="C20" s="52" t="s">
        <v>8</v>
      </c>
      <c r="D20" s="46">
        <v>1</v>
      </c>
      <c r="E20" s="46">
        <v>1</v>
      </c>
      <c r="F20" s="14">
        <f>11730*12</f>
        <v>140760</v>
      </c>
      <c r="G20" s="13">
        <v>1</v>
      </c>
      <c r="H20" s="12">
        <v>1</v>
      </c>
      <c r="I20" s="12">
        <v>1</v>
      </c>
      <c r="J20" s="12" t="s">
        <v>8</v>
      </c>
      <c r="K20" s="12" t="s">
        <v>8</v>
      </c>
      <c r="L20" s="12" t="s">
        <v>8</v>
      </c>
      <c r="M20" s="14">
        <f>470*12</f>
        <v>5640</v>
      </c>
      <c r="N20" s="15">
        <f>490*12</f>
        <v>5880</v>
      </c>
      <c r="O20" s="26">
        <f>510*12</f>
        <v>6120</v>
      </c>
      <c r="P20" s="26">
        <f>F20+M20</f>
        <v>146400</v>
      </c>
      <c r="Q20" s="14">
        <f t="shared" si="2"/>
        <v>152280</v>
      </c>
      <c r="R20" s="27">
        <f t="shared" si="2"/>
        <v>158400</v>
      </c>
      <c r="S20" s="61"/>
    </row>
    <row r="21" spans="1:19" ht="21.75" customHeight="1">
      <c r="A21" s="18"/>
      <c r="B21" s="45"/>
      <c r="C21" s="52"/>
      <c r="D21" s="40"/>
      <c r="E21" s="84"/>
      <c r="F21" s="14"/>
      <c r="G21" s="21"/>
      <c r="H21" s="20"/>
      <c r="I21" s="20"/>
      <c r="J21" s="20"/>
      <c r="K21" s="20"/>
      <c r="L21" s="20"/>
      <c r="M21" s="22"/>
      <c r="N21" s="22"/>
      <c r="O21" s="22"/>
      <c r="P21" s="28"/>
      <c r="Q21" s="22"/>
      <c r="R21" s="29"/>
      <c r="S21" s="62"/>
    </row>
    <row r="22" spans="1:19" s="25" customFormat="1" ht="21.75" customHeight="1">
      <c r="A22" s="24"/>
      <c r="B22" s="43" t="s">
        <v>9</v>
      </c>
      <c r="C22" s="54"/>
      <c r="D22" s="43">
        <f>SUM(D8:D21)</f>
        <v>14</v>
      </c>
      <c r="E22" s="43">
        <f>SUM(E8:E21)</f>
        <v>13</v>
      </c>
      <c r="F22" s="30">
        <f>SUM(F8:F20)</f>
        <v>3341760</v>
      </c>
      <c r="G22" s="30">
        <f>SUM(G8:G20)</f>
        <v>14</v>
      </c>
      <c r="H22" s="30">
        <f>SUM(H8:H20)</f>
        <v>14</v>
      </c>
      <c r="I22" s="30">
        <f>SUM(I8:I20)</f>
        <v>14</v>
      </c>
      <c r="J22" s="189">
        <f>SUM(J8:J20)</f>
        <v>1</v>
      </c>
      <c r="K22" s="189" t="s">
        <v>8</v>
      </c>
      <c r="L22" s="30" t="s">
        <v>25</v>
      </c>
      <c r="M22" s="30">
        <f t="shared" ref="M22:R22" si="3">SUM(M8:M20)</f>
        <v>365820</v>
      </c>
      <c r="N22" s="30">
        <f t="shared" si="3"/>
        <v>134340</v>
      </c>
      <c r="O22" s="30">
        <f t="shared" si="3"/>
        <v>136860</v>
      </c>
      <c r="P22" s="30">
        <f t="shared" si="3"/>
        <v>3707580</v>
      </c>
      <c r="Q22" s="30">
        <f t="shared" si="3"/>
        <v>3841920</v>
      </c>
      <c r="R22" s="30">
        <f t="shared" si="3"/>
        <v>3978780</v>
      </c>
      <c r="S22" s="30"/>
    </row>
    <row r="23" spans="1:19" s="25" customFormat="1" ht="21.75" customHeight="1">
      <c r="A23" s="13"/>
      <c r="B23" s="71"/>
      <c r="C23" s="52"/>
      <c r="D23" s="71"/>
      <c r="E23" s="71"/>
      <c r="F23" s="13"/>
      <c r="G23" s="13"/>
      <c r="H23" s="13"/>
      <c r="I23" s="13"/>
      <c r="J23" s="72"/>
      <c r="K23" s="72"/>
      <c r="L23" s="72"/>
      <c r="M23" s="13"/>
      <c r="N23" s="13"/>
      <c r="O23" s="13"/>
      <c r="P23" s="13"/>
      <c r="Q23" s="13"/>
      <c r="R23" s="13"/>
      <c r="S23" s="13"/>
    </row>
    <row r="24" spans="1:19" s="25" customFormat="1" ht="21.75" customHeight="1">
      <c r="A24" s="13"/>
      <c r="B24" s="71"/>
      <c r="C24" s="52"/>
      <c r="D24" s="71"/>
      <c r="E24" s="71"/>
      <c r="F24" s="13"/>
      <c r="G24" s="13"/>
      <c r="H24" s="13"/>
      <c r="I24" s="13"/>
      <c r="J24" s="72"/>
      <c r="K24" s="72"/>
      <c r="L24" s="72"/>
      <c r="M24" s="13"/>
      <c r="N24" s="13"/>
      <c r="O24" s="13"/>
      <c r="P24" s="13"/>
      <c r="Q24" s="13"/>
      <c r="R24" s="13"/>
      <c r="S24" s="13"/>
    </row>
    <row r="25" spans="1:19" s="33" customFormat="1" ht="21.75" customHeight="1">
      <c r="A25" s="11"/>
      <c r="B25" s="48"/>
      <c r="C25" s="52"/>
      <c r="D25" s="44"/>
      <c r="E25" s="44"/>
      <c r="F25" s="34"/>
      <c r="G25" s="11"/>
      <c r="H25" s="11"/>
      <c r="I25" s="11"/>
      <c r="J25" s="11"/>
      <c r="K25" s="11"/>
      <c r="L25" s="11"/>
      <c r="M25" s="35"/>
      <c r="N25" s="35"/>
      <c r="O25" s="35"/>
      <c r="P25" s="35"/>
      <c r="Q25" s="35"/>
      <c r="R25" s="35"/>
    </row>
    <row r="26" spans="1:19" s="33" customFormat="1" ht="21.75" customHeight="1">
      <c r="A26" s="11"/>
      <c r="B26" s="48"/>
      <c r="C26" s="52"/>
      <c r="D26" s="44"/>
      <c r="E26" s="44"/>
      <c r="F26" s="34"/>
      <c r="G26" s="11"/>
      <c r="H26" s="11"/>
      <c r="I26" s="11"/>
      <c r="J26" s="11"/>
      <c r="K26" s="11"/>
      <c r="L26" s="11"/>
      <c r="M26" s="34"/>
      <c r="N26" s="34"/>
      <c r="O26" s="34"/>
      <c r="P26" s="34"/>
      <c r="Q26" s="34"/>
      <c r="R26" s="35"/>
    </row>
    <row r="27" spans="1:19" s="33" customFormat="1" ht="21.75" customHeight="1">
      <c r="A27" s="11"/>
      <c r="B27" s="48"/>
      <c r="C27" s="52"/>
      <c r="D27" s="44"/>
      <c r="E27" s="44"/>
      <c r="F27" s="34"/>
      <c r="G27" s="11"/>
      <c r="H27" s="11"/>
      <c r="I27" s="11"/>
      <c r="J27" s="11"/>
      <c r="K27" s="11"/>
      <c r="L27" s="11"/>
      <c r="M27" s="34"/>
      <c r="N27" s="34"/>
      <c r="O27" s="34"/>
      <c r="P27" s="34"/>
      <c r="Q27" s="34"/>
      <c r="R27" s="35"/>
    </row>
    <row r="28" spans="1:19" s="33" customFormat="1" ht="21.75" customHeight="1">
      <c r="A28" s="11"/>
      <c r="B28" s="48"/>
      <c r="C28" s="52"/>
      <c r="D28" s="44"/>
      <c r="E28" s="44"/>
      <c r="F28" s="34"/>
      <c r="G28" s="11"/>
      <c r="H28" s="11"/>
      <c r="I28" s="11"/>
      <c r="J28" s="11"/>
      <c r="K28" s="11"/>
      <c r="L28" s="11"/>
      <c r="M28" s="35"/>
      <c r="N28" s="35"/>
      <c r="O28" s="35"/>
      <c r="P28" s="35"/>
      <c r="Q28" s="35"/>
      <c r="R28" s="35"/>
    </row>
    <row r="29" spans="1:19" s="33" customFormat="1" ht="21.75" customHeight="1">
      <c r="A29" s="11"/>
      <c r="B29" s="48"/>
      <c r="C29" s="52"/>
      <c r="D29" s="44"/>
      <c r="E29" s="44"/>
      <c r="F29" s="34"/>
      <c r="G29" s="11"/>
      <c r="H29" s="11"/>
      <c r="I29" s="11"/>
      <c r="J29" s="11"/>
      <c r="K29" s="11"/>
      <c r="L29" s="11"/>
      <c r="M29" s="34"/>
      <c r="N29" s="34"/>
      <c r="O29" s="34"/>
      <c r="P29" s="34"/>
      <c r="Q29" s="34"/>
      <c r="R29" s="34"/>
    </row>
    <row r="30" spans="1:19" s="33" customFormat="1" ht="21.75" customHeight="1">
      <c r="A30" s="11"/>
      <c r="B30" s="48"/>
      <c r="C30" s="56"/>
      <c r="D30" s="44"/>
      <c r="E30" s="44"/>
      <c r="F30" s="34"/>
      <c r="G30" s="11"/>
      <c r="H30" s="11"/>
      <c r="I30" s="11"/>
      <c r="J30" s="11"/>
      <c r="K30" s="11"/>
      <c r="L30" s="11"/>
      <c r="M30" s="34"/>
      <c r="N30" s="34"/>
      <c r="O30" s="34"/>
      <c r="P30" s="34"/>
      <c r="Q30" s="34"/>
      <c r="R30" s="34"/>
    </row>
    <row r="31" spans="1:19" s="33" customFormat="1" ht="21.75" customHeight="1">
      <c r="A31" s="11"/>
      <c r="B31" s="48"/>
      <c r="C31" s="52"/>
      <c r="D31" s="44"/>
      <c r="E31" s="44"/>
      <c r="F31" s="34"/>
      <c r="G31" s="11"/>
      <c r="H31" s="11"/>
      <c r="I31" s="11"/>
      <c r="J31" s="11"/>
      <c r="K31" s="11"/>
      <c r="L31" s="11"/>
      <c r="M31" s="34"/>
      <c r="N31" s="34"/>
      <c r="O31" s="34"/>
      <c r="P31" s="34"/>
      <c r="Q31" s="34"/>
      <c r="R31" s="34"/>
    </row>
    <row r="32" spans="1:19" s="33" customFormat="1" ht="21.75" customHeight="1">
      <c r="A32" s="11"/>
      <c r="B32" s="48"/>
      <c r="C32" s="52"/>
      <c r="D32" s="44"/>
      <c r="E32" s="44"/>
      <c r="F32" s="34"/>
      <c r="G32" s="11"/>
      <c r="H32" s="11"/>
      <c r="I32" s="11"/>
      <c r="J32" s="11"/>
      <c r="K32" s="11"/>
      <c r="L32" s="11"/>
      <c r="M32" s="34"/>
      <c r="N32" s="34"/>
      <c r="O32" s="34"/>
      <c r="P32" s="34"/>
      <c r="Q32" s="34"/>
      <c r="R32" s="35"/>
    </row>
    <row r="33" spans="1:18" s="33" customFormat="1" ht="21.75" customHeight="1">
      <c r="A33" s="11"/>
      <c r="B33" s="48"/>
      <c r="C33" s="52"/>
      <c r="D33" s="44"/>
      <c r="E33" s="44"/>
      <c r="F33" s="34"/>
      <c r="G33" s="11"/>
      <c r="H33" s="11"/>
      <c r="I33" s="11"/>
      <c r="J33" s="11"/>
      <c r="K33" s="11"/>
      <c r="L33" s="11"/>
      <c r="M33" s="34"/>
      <c r="N33" s="34"/>
      <c r="O33" s="34"/>
      <c r="P33" s="34"/>
      <c r="Q33" s="34"/>
      <c r="R33" s="35"/>
    </row>
    <row r="34" spans="1:18" ht="21.75" customHeight="1">
      <c r="A34" s="11"/>
      <c r="B34" s="48"/>
      <c r="C34" s="52"/>
      <c r="D34" s="44"/>
      <c r="E34" s="44"/>
      <c r="F34" s="34"/>
      <c r="G34" s="11"/>
      <c r="H34" s="11"/>
      <c r="I34" s="11"/>
      <c r="J34" s="11"/>
      <c r="K34" s="11"/>
      <c r="L34" s="11"/>
      <c r="M34" s="35"/>
      <c r="N34" s="35"/>
      <c r="O34" s="35"/>
      <c r="P34" s="35"/>
      <c r="Q34" s="35"/>
      <c r="R34" s="35"/>
    </row>
    <row r="35" spans="1:18" ht="21.75" customHeight="1">
      <c r="A35" s="11"/>
      <c r="B35" s="48"/>
      <c r="C35" s="57"/>
      <c r="D35" s="44"/>
      <c r="E35" s="44"/>
      <c r="F35" s="34"/>
      <c r="G35" s="11"/>
      <c r="H35" s="11"/>
      <c r="I35" s="11"/>
      <c r="J35" s="11"/>
      <c r="K35" s="11"/>
      <c r="L35" s="11"/>
      <c r="M35" s="35"/>
      <c r="N35" s="35"/>
      <c r="O35" s="35"/>
      <c r="P35" s="35"/>
      <c r="Q35" s="35"/>
      <c r="R35" s="35"/>
    </row>
    <row r="36" spans="1:18" ht="21.75" customHeight="1">
      <c r="A36" s="11"/>
      <c r="B36" s="44"/>
      <c r="C36" s="52"/>
      <c r="D36" s="44"/>
      <c r="E36" s="44"/>
      <c r="F36" s="35"/>
      <c r="G36" s="11"/>
      <c r="H36" s="11"/>
      <c r="I36" s="11"/>
      <c r="J36" s="11"/>
      <c r="K36" s="11"/>
      <c r="L36" s="11"/>
      <c r="M36" s="35"/>
      <c r="N36" s="35"/>
      <c r="O36" s="35"/>
      <c r="P36" s="35"/>
      <c r="Q36" s="35"/>
      <c r="R36" s="35"/>
    </row>
  </sheetData>
  <mergeCells count="9">
    <mergeCell ref="A1:R1"/>
    <mergeCell ref="A2:R2"/>
    <mergeCell ref="A3:R3"/>
    <mergeCell ref="E4:F5"/>
    <mergeCell ref="G4:I4"/>
    <mergeCell ref="J4:L4"/>
    <mergeCell ref="P4:R4"/>
    <mergeCell ref="G5:I5"/>
    <mergeCell ref="J5:L5"/>
  </mergeCells>
  <pageMargins left="0.33" right="0.28000000000000003" top="0.61" bottom="0.18" header="0.3" footer="0.17"/>
  <pageSetup paperSize="9" orientation="landscape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G32"/>
  <sheetViews>
    <sheetView view="pageBreakPreview" topLeftCell="A10" workbookViewId="0">
      <selection activeCell="B20" sqref="B20"/>
    </sheetView>
  </sheetViews>
  <sheetFormatPr defaultRowHeight="21.75" customHeight="1"/>
  <cols>
    <col min="1" max="1" width="3.7109375" style="38" customWidth="1"/>
    <col min="2" max="2" width="21.7109375" style="49" customWidth="1"/>
    <col min="3" max="3" width="6" style="58" customWidth="1"/>
    <col min="4" max="4" width="5.7109375" style="49" customWidth="1"/>
    <col min="5" max="5" width="7.85546875" style="49" customWidth="1"/>
    <col min="6" max="6" width="8.85546875" style="5" customWidth="1"/>
    <col min="7" max="12" width="6.28515625" style="5" customWidth="1"/>
    <col min="13" max="15" width="8.28515625" style="5" customWidth="1"/>
    <col min="16" max="18" width="8.7109375" style="5" customWidth="1"/>
    <col min="19" max="19" width="8" style="5" customWidth="1"/>
    <col min="20" max="20" width="4" style="5" customWidth="1"/>
    <col min="21" max="16384" width="9.140625" style="5"/>
  </cols>
  <sheetData>
    <row r="1" spans="1:33" s="1" customFormat="1" ht="21.75" customHeight="1">
      <c r="A1" s="267" t="s">
        <v>298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33" s="1" customFormat="1" ht="21.75" customHeight="1">
      <c r="A2" s="267" t="s">
        <v>31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33" s="1" customFormat="1" ht="21.75" customHeight="1">
      <c r="A3" s="268" t="s">
        <v>19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33" ht="21.75" customHeight="1">
      <c r="A4" s="2" t="s">
        <v>0</v>
      </c>
      <c r="B4" s="39" t="s">
        <v>1</v>
      </c>
      <c r="C4" s="65" t="s">
        <v>2</v>
      </c>
      <c r="D4" s="106" t="s">
        <v>4</v>
      </c>
      <c r="E4" s="269" t="s">
        <v>38</v>
      </c>
      <c r="F4" s="270"/>
      <c r="G4" s="273" t="s">
        <v>39</v>
      </c>
      <c r="H4" s="274"/>
      <c r="I4" s="275"/>
      <c r="J4" s="273" t="s">
        <v>44</v>
      </c>
      <c r="K4" s="274"/>
      <c r="L4" s="275"/>
      <c r="M4" s="3"/>
      <c r="N4" s="240" t="s">
        <v>7</v>
      </c>
      <c r="O4" s="4"/>
      <c r="P4" s="273" t="s">
        <v>6</v>
      </c>
      <c r="Q4" s="274"/>
      <c r="R4" s="275"/>
      <c r="S4" s="2" t="s">
        <v>42</v>
      </c>
    </row>
    <row r="5" spans="1:33" ht="21.75" customHeight="1">
      <c r="A5" s="17"/>
      <c r="B5" s="46"/>
      <c r="C5" s="66" t="s">
        <v>3</v>
      </c>
      <c r="D5" s="110" t="s">
        <v>5</v>
      </c>
      <c r="E5" s="271"/>
      <c r="F5" s="272"/>
      <c r="G5" s="276" t="s">
        <v>40</v>
      </c>
      <c r="H5" s="277"/>
      <c r="I5" s="278"/>
      <c r="J5" s="276" t="s">
        <v>45</v>
      </c>
      <c r="K5" s="277"/>
      <c r="L5" s="278"/>
      <c r="M5" s="59"/>
      <c r="N5" s="19"/>
      <c r="O5" s="60"/>
      <c r="P5" s="59"/>
      <c r="Q5" s="19"/>
      <c r="R5" s="60"/>
      <c r="S5" s="61"/>
    </row>
    <row r="6" spans="1:33" ht="21.75" customHeight="1">
      <c r="A6" s="6"/>
      <c r="B6" s="40"/>
      <c r="C6" s="50"/>
      <c r="D6" s="40"/>
      <c r="E6" s="114" t="s">
        <v>43</v>
      </c>
      <c r="F6" s="67" t="s">
        <v>41</v>
      </c>
      <c r="G6" s="7">
        <v>2558</v>
      </c>
      <c r="H6" s="7">
        <v>2559</v>
      </c>
      <c r="I6" s="7">
        <v>2560</v>
      </c>
      <c r="J6" s="7">
        <v>2558</v>
      </c>
      <c r="K6" s="7">
        <v>2559</v>
      </c>
      <c r="L6" s="7">
        <v>2560</v>
      </c>
      <c r="M6" s="7">
        <v>2558</v>
      </c>
      <c r="N6" s="7">
        <v>2559</v>
      </c>
      <c r="O6" s="7">
        <v>2560</v>
      </c>
      <c r="P6" s="7">
        <v>2558</v>
      </c>
      <c r="Q6" s="7">
        <v>2559</v>
      </c>
      <c r="R6" s="7">
        <v>2560</v>
      </c>
      <c r="S6" s="62"/>
    </row>
    <row r="7" spans="1:33" ht="21.75" customHeight="1">
      <c r="A7" s="239"/>
      <c r="B7" s="143" t="s">
        <v>61</v>
      </c>
      <c r="C7" s="51"/>
      <c r="D7" s="39"/>
      <c r="E7" s="141"/>
      <c r="F7" s="142"/>
      <c r="G7" s="2"/>
      <c r="H7" s="2"/>
      <c r="I7" s="2"/>
      <c r="J7" s="2"/>
      <c r="K7" s="2"/>
      <c r="L7" s="2"/>
      <c r="M7" s="2"/>
      <c r="N7" s="240"/>
      <c r="O7" s="239"/>
      <c r="P7" s="239"/>
      <c r="Q7" s="2"/>
      <c r="R7" s="241"/>
      <c r="S7" s="64"/>
    </row>
    <row r="8" spans="1:33" ht="21.75" customHeight="1">
      <c r="A8" s="32" t="s">
        <v>281</v>
      </c>
      <c r="B8" s="41" t="s">
        <v>108</v>
      </c>
      <c r="C8" s="52">
        <v>8</v>
      </c>
      <c r="D8" s="46">
        <v>1</v>
      </c>
      <c r="E8" s="71">
        <v>1</v>
      </c>
      <c r="F8" s="14">
        <f>51520*12+(11200*12)</f>
        <v>752640</v>
      </c>
      <c r="G8" s="12">
        <v>1</v>
      </c>
      <c r="H8" s="12">
        <v>1</v>
      </c>
      <c r="I8" s="12">
        <v>1</v>
      </c>
      <c r="J8" s="12" t="s">
        <v>8</v>
      </c>
      <c r="K8" s="12" t="s">
        <v>8</v>
      </c>
      <c r="L8" s="12" t="s">
        <v>8</v>
      </c>
      <c r="M8" s="14">
        <f>(53230-51520)*12</f>
        <v>20520</v>
      </c>
      <c r="N8" s="14">
        <f>(54960-53230)*12</f>
        <v>20760</v>
      </c>
      <c r="O8" s="14">
        <f>(56730-54960)*12</f>
        <v>21240</v>
      </c>
      <c r="P8" s="26">
        <f>F8+M8</f>
        <v>773160</v>
      </c>
      <c r="Q8" s="14">
        <f t="shared" ref="Q8:R10" si="0">P8+N8</f>
        <v>793920</v>
      </c>
      <c r="R8" s="27">
        <f t="shared" si="0"/>
        <v>815160</v>
      </c>
      <c r="S8" s="61"/>
    </row>
    <row r="9" spans="1:33" ht="21.75" customHeight="1">
      <c r="A9" s="32" t="s">
        <v>282</v>
      </c>
      <c r="B9" s="41" t="s">
        <v>109</v>
      </c>
      <c r="C9" s="52">
        <v>7</v>
      </c>
      <c r="D9" s="46">
        <v>2</v>
      </c>
      <c r="E9" s="71">
        <v>1</v>
      </c>
      <c r="F9" s="14">
        <f>33560*12</f>
        <v>402720</v>
      </c>
      <c r="G9" s="13">
        <v>2</v>
      </c>
      <c r="H9" s="12">
        <v>2</v>
      </c>
      <c r="I9" s="12">
        <v>2</v>
      </c>
      <c r="J9" s="185">
        <v>1</v>
      </c>
      <c r="K9" s="12" t="s">
        <v>8</v>
      </c>
      <c r="L9" s="12" t="s">
        <v>8</v>
      </c>
      <c r="M9" s="14">
        <f>(34680-33560)*12+367080</f>
        <v>380520</v>
      </c>
      <c r="N9" s="14">
        <f>(35770-34680)*12+13920</f>
        <v>27000</v>
      </c>
      <c r="O9" s="14">
        <f>(36860-35770)*12+13920</f>
        <v>27000</v>
      </c>
      <c r="P9" s="26">
        <f>F9+M9</f>
        <v>783240</v>
      </c>
      <c r="Q9" s="14">
        <f t="shared" si="0"/>
        <v>810240</v>
      </c>
      <c r="R9" s="27">
        <f t="shared" si="0"/>
        <v>837240</v>
      </c>
      <c r="S9" s="61"/>
    </row>
    <row r="10" spans="1:33" ht="21.75" customHeight="1">
      <c r="A10" s="32" t="s">
        <v>336</v>
      </c>
      <c r="B10" s="41" t="s">
        <v>110</v>
      </c>
      <c r="C10" s="52">
        <v>6</v>
      </c>
      <c r="D10" s="46">
        <v>1</v>
      </c>
      <c r="E10" s="71">
        <v>1</v>
      </c>
      <c r="F10" s="14">
        <f>22490*12</f>
        <v>269880</v>
      </c>
      <c r="G10" s="13">
        <v>1</v>
      </c>
      <c r="H10" s="12">
        <v>1</v>
      </c>
      <c r="I10" s="12">
        <v>1</v>
      </c>
      <c r="J10" s="12" t="s">
        <v>8</v>
      </c>
      <c r="K10" s="12" t="s">
        <v>8</v>
      </c>
      <c r="L10" s="12" t="s">
        <v>8</v>
      </c>
      <c r="M10" s="14">
        <f>(23370-22490)*12</f>
        <v>10560</v>
      </c>
      <c r="N10" s="14">
        <f>(24270-23370)*12</f>
        <v>10800</v>
      </c>
      <c r="O10" s="14">
        <f>(25190-24270)*12</f>
        <v>11040</v>
      </c>
      <c r="P10" s="26">
        <f>F10+M10</f>
        <v>280440</v>
      </c>
      <c r="Q10" s="14">
        <f t="shared" si="0"/>
        <v>291240</v>
      </c>
      <c r="R10" s="27">
        <f t="shared" si="0"/>
        <v>302280</v>
      </c>
      <c r="S10" s="61"/>
      <c r="T10" s="33"/>
      <c r="U10" s="11"/>
      <c r="V10" s="11"/>
      <c r="W10" s="11"/>
      <c r="X10" s="34"/>
      <c r="Y10" s="11"/>
      <c r="Z10" s="11"/>
      <c r="AA10" s="11"/>
      <c r="AB10" s="35"/>
      <c r="AC10" s="35"/>
      <c r="AD10" s="35"/>
      <c r="AE10" s="35"/>
      <c r="AF10" s="35"/>
      <c r="AG10" s="35"/>
    </row>
    <row r="11" spans="1:33" ht="21.75" customHeight="1">
      <c r="A11" s="32" t="s">
        <v>310</v>
      </c>
      <c r="B11" s="41" t="s">
        <v>234</v>
      </c>
      <c r="C11" s="146" t="s">
        <v>220</v>
      </c>
      <c r="D11" s="46">
        <v>1</v>
      </c>
      <c r="E11" s="71" t="s">
        <v>8</v>
      </c>
      <c r="F11" s="14" t="s">
        <v>8</v>
      </c>
      <c r="G11" s="13">
        <v>1</v>
      </c>
      <c r="H11" s="12">
        <v>1</v>
      </c>
      <c r="I11" s="12">
        <v>1</v>
      </c>
      <c r="J11" s="185">
        <v>1</v>
      </c>
      <c r="K11" s="12" t="s">
        <v>8</v>
      </c>
      <c r="L11" s="12" t="s">
        <v>8</v>
      </c>
      <c r="M11" s="228">
        <f>242700*G11</f>
        <v>242700</v>
      </c>
      <c r="N11" s="77">
        <f>(8580*1)</f>
        <v>8580</v>
      </c>
      <c r="O11" s="78">
        <f>(8580*1)</f>
        <v>8580</v>
      </c>
      <c r="P11" s="78">
        <f>M11</f>
        <v>242700</v>
      </c>
      <c r="Q11" s="76">
        <f>P11+N11</f>
        <v>251280</v>
      </c>
      <c r="R11" s="79">
        <f>Q11+O11</f>
        <v>259860</v>
      </c>
      <c r="S11" s="61"/>
      <c r="T11" s="33"/>
      <c r="U11" s="11"/>
      <c r="V11" s="11"/>
      <c r="W11" s="11"/>
      <c r="X11" s="251"/>
      <c r="Y11" s="11"/>
      <c r="Z11" s="11"/>
      <c r="AA11" s="11"/>
      <c r="AB11" s="251"/>
      <c r="AC11" s="251"/>
      <c r="AD11" s="251"/>
      <c r="AE11" s="251"/>
      <c r="AF11" s="251"/>
      <c r="AG11" s="35"/>
    </row>
    <row r="12" spans="1:33" ht="21.75" customHeight="1">
      <c r="A12" s="32"/>
      <c r="B12" s="144" t="s">
        <v>68</v>
      </c>
      <c r="C12" s="52"/>
      <c r="D12" s="46"/>
      <c r="E12" s="71"/>
      <c r="F12" s="14"/>
      <c r="G12" s="13"/>
      <c r="H12" s="12"/>
      <c r="I12" s="12"/>
      <c r="J12" s="68"/>
      <c r="K12" s="12"/>
      <c r="L12" s="12"/>
      <c r="M12" s="14"/>
      <c r="N12" s="15"/>
      <c r="O12" s="26"/>
      <c r="P12" s="26"/>
      <c r="Q12" s="14"/>
      <c r="R12" s="27"/>
      <c r="S12" s="61"/>
      <c r="T12" s="33"/>
      <c r="U12" s="16"/>
      <c r="V12" s="11"/>
      <c r="W12" s="11"/>
      <c r="X12" s="34"/>
      <c r="Y12" s="11"/>
      <c r="Z12" s="11"/>
      <c r="AA12" s="11"/>
      <c r="AB12" s="34"/>
      <c r="AC12" s="34"/>
      <c r="AD12" s="35"/>
      <c r="AE12" s="34"/>
      <c r="AF12" s="34"/>
      <c r="AG12" s="34"/>
    </row>
    <row r="13" spans="1:33" s="153" customFormat="1" ht="21.75" customHeight="1">
      <c r="A13" s="32" t="s">
        <v>283</v>
      </c>
      <c r="B13" s="41" t="s">
        <v>69</v>
      </c>
      <c r="C13" s="52" t="s">
        <v>70</v>
      </c>
      <c r="D13" s="46">
        <v>2</v>
      </c>
      <c r="E13" s="71">
        <v>2</v>
      </c>
      <c r="F13" s="76">
        <v>562560</v>
      </c>
      <c r="G13" s="213">
        <v>2</v>
      </c>
      <c r="H13" s="220">
        <v>2</v>
      </c>
      <c r="I13" s="220">
        <v>2</v>
      </c>
      <c r="J13" s="220" t="s">
        <v>8</v>
      </c>
      <c r="K13" s="220" t="s">
        <v>8</v>
      </c>
      <c r="L13" s="220" t="s">
        <v>8</v>
      </c>
      <c r="M13" s="76">
        <v>23880</v>
      </c>
      <c r="N13" s="77">
        <v>24600</v>
      </c>
      <c r="O13" s="78">
        <v>24720</v>
      </c>
      <c r="P13" s="78">
        <v>586440</v>
      </c>
      <c r="Q13" s="76">
        <v>611040</v>
      </c>
      <c r="R13" s="79">
        <v>635760</v>
      </c>
      <c r="S13" s="61"/>
      <c r="T13" s="85" t="s">
        <v>306</v>
      </c>
      <c r="U13" s="179"/>
      <c r="V13" s="166"/>
      <c r="W13" s="166"/>
      <c r="X13" s="180"/>
      <c r="Y13" s="166"/>
      <c r="Z13" s="166"/>
      <c r="AA13" s="166"/>
      <c r="AB13" s="180"/>
      <c r="AC13" s="180"/>
      <c r="AD13" s="180"/>
      <c r="AE13" s="180"/>
      <c r="AF13" s="180"/>
      <c r="AG13" s="180"/>
    </row>
    <row r="14" spans="1:33" s="153" customFormat="1" ht="21.75" customHeight="1">
      <c r="A14" s="32" t="s">
        <v>284</v>
      </c>
      <c r="B14" s="41" t="s">
        <v>71</v>
      </c>
      <c r="C14" s="55" t="s">
        <v>72</v>
      </c>
      <c r="D14" s="46">
        <v>11</v>
      </c>
      <c r="E14" s="71">
        <v>11</v>
      </c>
      <c r="F14" s="76">
        <v>2417400</v>
      </c>
      <c r="G14" s="213">
        <v>11</v>
      </c>
      <c r="H14" s="220">
        <v>11</v>
      </c>
      <c r="I14" s="220">
        <v>11</v>
      </c>
      <c r="J14" s="220" t="s">
        <v>8</v>
      </c>
      <c r="K14" s="220" t="s">
        <v>8</v>
      </c>
      <c r="L14" s="220" t="s">
        <v>8</v>
      </c>
      <c r="M14" s="76">
        <v>108600</v>
      </c>
      <c r="N14" s="77">
        <v>108000</v>
      </c>
      <c r="O14" s="78">
        <v>108600</v>
      </c>
      <c r="P14" s="78">
        <v>2526000</v>
      </c>
      <c r="Q14" s="76">
        <v>2634000</v>
      </c>
      <c r="R14" s="79">
        <v>2742600</v>
      </c>
      <c r="S14" s="61"/>
      <c r="T14" s="33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</row>
    <row r="15" spans="1:33" s="153" customFormat="1" ht="21.75" customHeight="1">
      <c r="A15" s="32" t="s">
        <v>285</v>
      </c>
      <c r="B15" s="41" t="s">
        <v>73</v>
      </c>
      <c r="C15" s="52" t="s">
        <v>8</v>
      </c>
      <c r="D15" s="46">
        <v>7</v>
      </c>
      <c r="E15" s="71">
        <v>7</v>
      </c>
      <c r="F15" s="76">
        <v>1305240</v>
      </c>
      <c r="G15" s="213">
        <v>7</v>
      </c>
      <c r="H15" s="220">
        <v>7</v>
      </c>
      <c r="I15" s="220">
        <v>7</v>
      </c>
      <c r="J15" s="220"/>
      <c r="K15" s="220"/>
      <c r="L15" s="220"/>
      <c r="M15" s="76">
        <v>61920</v>
      </c>
      <c r="N15" s="77">
        <v>59880</v>
      </c>
      <c r="O15" s="78">
        <v>63120</v>
      </c>
      <c r="P15" s="78">
        <f>F15+M15</f>
        <v>1367160</v>
      </c>
      <c r="Q15" s="76">
        <f>P15+N15</f>
        <v>1427040</v>
      </c>
      <c r="R15" s="79">
        <f>Q15+O15</f>
        <v>1490160</v>
      </c>
      <c r="S15" s="61"/>
      <c r="T15" s="85"/>
    </row>
    <row r="16" spans="1:33" s="153" customFormat="1" ht="21.75" customHeight="1">
      <c r="A16" s="32" t="s">
        <v>286</v>
      </c>
      <c r="B16" s="41" t="s">
        <v>74</v>
      </c>
      <c r="C16" s="52" t="s">
        <v>8</v>
      </c>
      <c r="D16" s="46">
        <v>5</v>
      </c>
      <c r="E16" s="71">
        <v>5</v>
      </c>
      <c r="F16" s="76">
        <v>719760</v>
      </c>
      <c r="G16" s="213">
        <v>5</v>
      </c>
      <c r="H16" s="220">
        <v>5</v>
      </c>
      <c r="I16" s="220">
        <v>5</v>
      </c>
      <c r="J16" s="220" t="s">
        <v>8</v>
      </c>
      <c r="K16" s="220" t="s">
        <v>8</v>
      </c>
      <c r="L16" s="220" t="s">
        <v>8</v>
      </c>
      <c r="M16" s="76">
        <v>30960</v>
      </c>
      <c r="N16" s="77">
        <v>27480</v>
      </c>
      <c r="O16" s="78">
        <v>32760</v>
      </c>
      <c r="P16" s="78">
        <f>M16+F16</f>
        <v>750720</v>
      </c>
      <c r="Q16" s="76">
        <f>P16+N16</f>
        <v>778200</v>
      </c>
      <c r="R16" s="79">
        <f>Q16+O16</f>
        <v>810960</v>
      </c>
      <c r="S16" s="61"/>
      <c r="T16" s="5"/>
    </row>
    <row r="17" spans="1:20" ht="21.75" customHeight="1">
      <c r="A17" s="10"/>
      <c r="B17" s="144" t="s">
        <v>62</v>
      </c>
      <c r="C17" s="52"/>
      <c r="D17" s="46"/>
      <c r="E17" s="71"/>
      <c r="F17" s="14"/>
      <c r="G17" s="13"/>
      <c r="H17" s="12"/>
      <c r="I17" s="12"/>
      <c r="J17" s="12"/>
      <c r="K17" s="12"/>
      <c r="L17" s="12"/>
      <c r="M17" s="14"/>
      <c r="N17" s="15"/>
      <c r="O17" s="26"/>
      <c r="P17" s="26"/>
      <c r="Q17" s="14"/>
      <c r="R17" s="27"/>
      <c r="S17" s="61"/>
    </row>
    <row r="18" spans="1:20" ht="21.75" customHeight="1">
      <c r="A18" s="32" t="s">
        <v>287</v>
      </c>
      <c r="B18" s="42" t="s">
        <v>144</v>
      </c>
      <c r="C18" s="52" t="s">
        <v>8</v>
      </c>
      <c r="D18" s="46">
        <v>11</v>
      </c>
      <c r="E18" s="46">
        <v>11</v>
      </c>
      <c r="F18" s="14">
        <v>1971480</v>
      </c>
      <c r="G18" s="13">
        <v>11</v>
      </c>
      <c r="H18" s="12">
        <v>11</v>
      </c>
      <c r="I18" s="12">
        <v>11</v>
      </c>
      <c r="J18" s="220" t="s">
        <v>8</v>
      </c>
      <c r="K18" s="220" t="s">
        <v>8</v>
      </c>
      <c r="L18" s="220" t="s">
        <v>8</v>
      </c>
      <c r="M18" s="14">
        <f>79560</f>
        <v>79560</v>
      </c>
      <c r="N18" s="15">
        <f>82560</f>
        <v>82560</v>
      </c>
      <c r="O18" s="26">
        <f>85920</f>
        <v>85920</v>
      </c>
      <c r="P18" s="26">
        <f>F18+M18</f>
        <v>2051040</v>
      </c>
      <c r="Q18" s="14">
        <f>P18+N18</f>
        <v>2133600</v>
      </c>
      <c r="R18" s="27">
        <f>Q18+O18</f>
        <v>2219520</v>
      </c>
      <c r="S18" s="61"/>
    </row>
    <row r="19" spans="1:20" s="153" customFormat="1" ht="21.75" customHeight="1">
      <c r="A19" s="32" t="s">
        <v>288</v>
      </c>
      <c r="B19" s="42" t="s">
        <v>145</v>
      </c>
      <c r="C19" s="52" t="s">
        <v>8</v>
      </c>
      <c r="D19" s="46">
        <v>2</v>
      </c>
      <c r="E19" s="46">
        <v>2</v>
      </c>
      <c r="F19" s="76">
        <v>233400</v>
      </c>
      <c r="G19" s="213">
        <v>2</v>
      </c>
      <c r="H19" s="220">
        <v>2</v>
      </c>
      <c r="I19" s="220">
        <v>2</v>
      </c>
      <c r="J19" s="220" t="s">
        <v>8</v>
      </c>
      <c r="K19" s="220" t="s">
        <v>8</v>
      </c>
      <c r="L19" s="220" t="s">
        <v>8</v>
      </c>
      <c r="M19" s="76">
        <v>9480</v>
      </c>
      <c r="N19" s="77">
        <v>9840</v>
      </c>
      <c r="O19" s="78">
        <v>10200</v>
      </c>
      <c r="P19" s="78">
        <v>242880</v>
      </c>
      <c r="Q19" s="76">
        <v>252720</v>
      </c>
      <c r="R19" s="79">
        <v>262920</v>
      </c>
      <c r="S19" s="61"/>
      <c r="T19" s="5"/>
    </row>
    <row r="20" spans="1:20" ht="21.75" customHeight="1">
      <c r="A20" s="10"/>
      <c r="B20" s="144" t="s">
        <v>63</v>
      </c>
      <c r="C20" s="52"/>
      <c r="D20" s="46"/>
      <c r="E20" s="71"/>
      <c r="F20" s="14"/>
      <c r="G20" s="13"/>
      <c r="H20" s="12"/>
      <c r="I20" s="12"/>
      <c r="J20" s="12"/>
      <c r="K20" s="12"/>
      <c r="L20" s="12"/>
      <c r="M20" s="14"/>
      <c r="N20" s="15"/>
      <c r="O20" s="26"/>
      <c r="P20" s="26"/>
      <c r="Q20" s="14"/>
      <c r="R20" s="27"/>
      <c r="S20" s="61"/>
    </row>
    <row r="21" spans="1:20" ht="21.75" customHeight="1">
      <c r="A21" s="255" t="s">
        <v>289</v>
      </c>
      <c r="B21" s="45" t="s">
        <v>147</v>
      </c>
      <c r="C21" s="52" t="s">
        <v>8</v>
      </c>
      <c r="D21" s="46">
        <v>12</v>
      </c>
      <c r="E21" s="71">
        <v>10</v>
      </c>
      <c r="F21" s="14">
        <f>9000*12*E21</f>
        <v>1080000</v>
      </c>
      <c r="G21" s="24">
        <v>11</v>
      </c>
      <c r="H21" s="20">
        <v>12</v>
      </c>
      <c r="I21" s="20">
        <v>13</v>
      </c>
      <c r="J21" s="188">
        <v>1</v>
      </c>
      <c r="K21" s="188">
        <v>1</v>
      </c>
      <c r="L21" s="188">
        <v>1</v>
      </c>
      <c r="M21" s="14" t="s">
        <v>8</v>
      </c>
      <c r="N21" s="15">
        <f>9000*12</f>
        <v>108000</v>
      </c>
      <c r="O21" s="22">
        <f>9000*12</f>
        <v>108000</v>
      </c>
      <c r="P21" s="26">
        <f>F21</f>
        <v>1080000</v>
      </c>
      <c r="Q21" s="14">
        <f>P21+N21</f>
        <v>1188000</v>
      </c>
      <c r="R21" s="27">
        <f>Q21+O21</f>
        <v>1296000</v>
      </c>
      <c r="S21" s="61"/>
    </row>
    <row r="22" spans="1:20" s="25" customFormat="1" ht="21.75" customHeight="1">
      <c r="A22" s="24"/>
      <c r="B22" s="43" t="s">
        <v>9</v>
      </c>
      <c r="C22" s="54"/>
      <c r="D22" s="47">
        <f t="shared" ref="D22:L22" si="1">SUM(D8:D21)</f>
        <v>55</v>
      </c>
      <c r="E22" s="47">
        <f t="shared" si="1"/>
        <v>51</v>
      </c>
      <c r="F22" s="47">
        <f t="shared" si="1"/>
        <v>9715080</v>
      </c>
      <c r="G22" s="43">
        <f t="shared" si="1"/>
        <v>54</v>
      </c>
      <c r="H22" s="43">
        <f t="shared" si="1"/>
        <v>55</v>
      </c>
      <c r="I22" s="43">
        <f t="shared" si="1"/>
        <v>56</v>
      </c>
      <c r="J22" s="188">
        <f t="shared" si="1"/>
        <v>3</v>
      </c>
      <c r="K22" s="188">
        <f t="shared" si="1"/>
        <v>1</v>
      </c>
      <c r="L22" s="188">
        <f t="shared" si="1"/>
        <v>1</v>
      </c>
      <c r="M22" s="47">
        <f t="shared" ref="M22:R22" si="2">SUM(M8:M21)-M19-M16-M15-M14-M13</f>
        <v>733860</v>
      </c>
      <c r="N22" s="47">
        <f t="shared" si="2"/>
        <v>257700</v>
      </c>
      <c r="O22" s="47">
        <f t="shared" si="2"/>
        <v>261780</v>
      </c>
      <c r="P22" s="47">
        <f t="shared" si="2"/>
        <v>5210580</v>
      </c>
      <c r="Q22" s="47">
        <f t="shared" si="2"/>
        <v>5468280</v>
      </c>
      <c r="R22" s="47">
        <f t="shared" si="2"/>
        <v>5730060</v>
      </c>
      <c r="S22" s="30"/>
    </row>
    <row r="23" spans="1:20" s="25" customFormat="1" ht="21.75" customHeight="1">
      <c r="A23" s="13"/>
      <c r="B23" s="71"/>
      <c r="C23" s="52"/>
      <c r="D23" s="71"/>
      <c r="E23" s="71"/>
      <c r="F23" s="13"/>
      <c r="G23" s="13"/>
      <c r="H23" s="13"/>
      <c r="I23" s="13"/>
      <c r="J23" s="72"/>
      <c r="K23" s="72"/>
      <c r="L23" s="72"/>
      <c r="M23" s="71"/>
      <c r="N23" s="71"/>
      <c r="O23" s="71"/>
      <c r="P23" s="71"/>
      <c r="Q23" s="71"/>
      <c r="R23" s="71"/>
      <c r="S23" s="13"/>
    </row>
    <row r="24" spans="1:20" s="25" customFormat="1" ht="21.75" customHeight="1">
      <c r="A24" s="13"/>
      <c r="B24" s="71"/>
      <c r="C24" s="52"/>
      <c r="D24" s="71"/>
      <c r="E24" s="71"/>
      <c r="F24" s="13"/>
      <c r="G24" s="13"/>
      <c r="H24" s="13"/>
      <c r="I24" s="13"/>
      <c r="J24" s="72"/>
      <c r="K24" s="72"/>
      <c r="L24" s="72"/>
      <c r="M24" s="71"/>
      <c r="N24" s="71"/>
      <c r="O24" s="71"/>
      <c r="P24" s="71"/>
      <c r="Q24" s="71"/>
      <c r="R24" s="71"/>
      <c r="S24" s="13"/>
    </row>
    <row r="25" spans="1:20" s="33" customFormat="1" ht="21.75" customHeight="1">
      <c r="A25" s="11"/>
      <c r="B25" s="48"/>
      <c r="C25" s="52"/>
      <c r="D25" s="44"/>
      <c r="E25" s="44"/>
      <c r="F25" s="34"/>
      <c r="G25" s="11"/>
      <c r="H25" s="11"/>
      <c r="I25" s="11"/>
      <c r="J25" s="11"/>
      <c r="K25" s="11"/>
      <c r="L25" s="11"/>
      <c r="M25" s="34"/>
      <c r="N25" s="34"/>
      <c r="O25" s="34"/>
      <c r="P25" s="34"/>
      <c r="Q25" s="34"/>
      <c r="R25" s="34"/>
    </row>
    <row r="26" spans="1:20" s="33" customFormat="1" ht="21.75" customHeight="1">
      <c r="A26" s="11"/>
      <c r="B26" s="48"/>
      <c r="C26" s="56"/>
      <c r="D26" s="44"/>
      <c r="E26" s="44"/>
      <c r="F26" s="34"/>
      <c r="G26" s="11"/>
      <c r="H26" s="11"/>
      <c r="I26" s="11"/>
      <c r="J26" s="11"/>
      <c r="K26" s="11"/>
      <c r="L26" s="11"/>
      <c r="M26" s="34"/>
      <c r="N26" s="34"/>
      <c r="O26" s="34"/>
      <c r="P26" s="34"/>
      <c r="Q26" s="34"/>
      <c r="R26" s="34"/>
    </row>
    <row r="27" spans="1:20" s="33" customFormat="1" ht="21.75" customHeight="1">
      <c r="A27" s="11"/>
      <c r="B27" s="48"/>
      <c r="C27" s="52"/>
      <c r="D27" s="44"/>
      <c r="E27" s="44"/>
      <c r="F27" s="34"/>
      <c r="G27" s="11"/>
      <c r="H27" s="11"/>
      <c r="I27" s="11"/>
      <c r="J27" s="11"/>
      <c r="K27" s="11"/>
      <c r="L27" s="11"/>
      <c r="M27" s="34"/>
      <c r="N27" s="34"/>
      <c r="O27" s="34"/>
      <c r="P27" s="34"/>
      <c r="Q27" s="34"/>
      <c r="R27" s="34"/>
    </row>
    <row r="28" spans="1:20" s="33" customFormat="1" ht="21.75" customHeight="1">
      <c r="A28" s="11"/>
      <c r="B28" s="48"/>
      <c r="C28" s="52"/>
      <c r="D28" s="44"/>
      <c r="E28" s="44"/>
      <c r="F28" s="34"/>
      <c r="G28" s="11"/>
      <c r="H28" s="11"/>
      <c r="I28" s="11"/>
      <c r="J28" s="11"/>
      <c r="K28" s="11"/>
      <c r="L28" s="11"/>
      <c r="M28" s="34"/>
      <c r="N28" s="34"/>
      <c r="O28" s="34"/>
      <c r="P28" s="34"/>
      <c r="Q28" s="34"/>
      <c r="R28" s="35"/>
    </row>
    <row r="29" spans="1:20" s="33" customFormat="1" ht="21.75" customHeight="1">
      <c r="A29" s="11"/>
      <c r="B29" s="48"/>
      <c r="C29" s="52"/>
      <c r="D29" s="44"/>
      <c r="E29" s="44"/>
      <c r="F29" s="34"/>
      <c r="G29" s="11"/>
      <c r="H29" s="11"/>
      <c r="I29" s="11"/>
      <c r="J29" s="11"/>
      <c r="K29" s="11"/>
      <c r="L29" s="11"/>
      <c r="M29" s="34"/>
      <c r="N29" s="34"/>
      <c r="O29" s="34"/>
      <c r="P29" s="34"/>
      <c r="Q29" s="34"/>
      <c r="R29" s="35"/>
    </row>
    <row r="30" spans="1:20" ht="21.75" customHeight="1">
      <c r="A30" s="11"/>
      <c r="B30" s="48"/>
      <c r="C30" s="52"/>
      <c r="D30" s="44"/>
      <c r="E30" s="44"/>
      <c r="F30" s="34"/>
      <c r="G30" s="11"/>
      <c r="H30" s="11"/>
      <c r="I30" s="11"/>
      <c r="J30" s="11"/>
      <c r="K30" s="11"/>
      <c r="L30" s="11"/>
      <c r="M30" s="35"/>
      <c r="N30" s="35"/>
      <c r="O30" s="35"/>
      <c r="P30" s="35"/>
      <c r="Q30" s="35"/>
      <c r="R30" s="35"/>
    </row>
    <row r="31" spans="1:20" ht="21.75" customHeight="1">
      <c r="A31" s="11"/>
      <c r="B31" s="48"/>
      <c r="C31" s="57"/>
      <c r="D31" s="44"/>
      <c r="E31" s="44"/>
      <c r="F31" s="34"/>
      <c r="G31" s="11"/>
      <c r="H31" s="11"/>
      <c r="I31" s="11"/>
      <c r="J31" s="11"/>
      <c r="K31" s="11"/>
      <c r="L31" s="11"/>
      <c r="M31" s="35"/>
      <c r="N31" s="35"/>
      <c r="O31" s="35"/>
      <c r="P31" s="35"/>
      <c r="Q31" s="35"/>
      <c r="R31" s="35"/>
    </row>
    <row r="32" spans="1:20" ht="21.75" customHeight="1">
      <c r="A32" s="11"/>
      <c r="B32" s="44"/>
      <c r="C32" s="52"/>
      <c r="D32" s="44"/>
      <c r="E32" s="44"/>
      <c r="F32" s="35"/>
      <c r="G32" s="11"/>
      <c r="H32" s="11"/>
      <c r="I32" s="11"/>
      <c r="J32" s="11"/>
      <c r="K32" s="11"/>
      <c r="L32" s="11"/>
      <c r="M32" s="35"/>
      <c r="N32" s="35"/>
      <c r="O32" s="35"/>
      <c r="P32" s="35"/>
      <c r="Q32" s="35"/>
      <c r="R32" s="35"/>
    </row>
  </sheetData>
  <mergeCells count="9">
    <mergeCell ref="A1:R1"/>
    <mergeCell ref="A2:R2"/>
    <mergeCell ref="A3:R3"/>
    <mergeCell ref="E4:F5"/>
    <mergeCell ref="G4:I4"/>
    <mergeCell ref="J4:L4"/>
    <mergeCell ref="P4:R4"/>
    <mergeCell ref="G5:I5"/>
    <mergeCell ref="J5:L5"/>
  </mergeCells>
  <pageMargins left="0.28000000000000003" right="0.15748031496062992" top="0.31496062992125984" bottom="0.19685039370078741" header="0.31496062992125984" footer="0.15748031496062992"/>
  <pageSetup paperSize="9"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T42"/>
  <sheetViews>
    <sheetView view="pageBreakPreview" topLeftCell="A10" workbookViewId="0">
      <selection activeCell="B18" sqref="B18"/>
    </sheetView>
  </sheetViews>
  <sheetFormatPr defaultRowHeight="21.75" customHeight="1"/>
  <cols>
    <col min="1" max="1" width="3.7109375" style="38" customWidth="1"/>
    <col min="2" max="2" width="21.7109375" style="49" customWidth="1"/>
    <col min="3" max="3" width="6" style="58" customWidth="1"/>
    <col min="4" max="4" width="5.7109375" style="49" customWidth="1"/>
    <col min="5" max="5" width="7.85546875" style="49" customWidth="1"/>
    <col min="6" max="6" width="8.85546875" style="5" customWidth="1"/>
    <col min="7" max="12" width="6.28515625" style="5" customWidth="1"/>
    <col min="13" max="15" width="8.28515625" style="5" customWidth="1"/>
    <col min="16" max="18" width="8.7109375" style="5" customWidth="1"/>
    <col min="19" max="19" width="8" style="5" customWidth="1"/>
    <col min="20" max="20" width="4" style="5" customWidth="1"/>
    <col min="21" max="16384" width="9.140625" style="5"/>
  </cols>
  <sheetData>
    <row r="1" spans="1:20" s="1" customFormat="1" ht="21.75" customHeight="1">
      <c r="A1" s="267" t="s">
        <v>298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20" s="1" customFormat="1" ht="21.75" customHeight="1">
      <c r="A2" s="267" t="s">
        <v>32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20" s="1" customFormat="1" ht="21.75" customHeight="1">
      <c r="A3" s="268" t="s">
        <v>19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ht="21.75" customHeight="1">
      <c r="A4" s="2" t="s">
        <v>0</v>
      </c>
      <c r="B4" s="39" t="s">
        <v>1</v>
      </c>
      <c r="C4" s="65" t="s">
        <v>2</v>
      </c>
      <c r="D4" s="106" t="s">
        <v>4</v>
      </c>
      <c r="E4" s="269" t="s">
        <v>38</v>
      </c>
      <c r="F4" s="270"/>
      <c r="G4" s="273" t="s">
        <v>39</v>
      </c>
      <c r="H4" s="274"/>
      <c r="I4" s="275"/>
      <c r="J4" s="273" t="s">
        <v>44</v>
      </c>
      <c r="K4" s="274"/>
      <c r="L4" s="275"/>
      <c r="M4" s="3"/>
      <c r="N4" s="9" t="s">
        <v>7</v>
      </c>
      <c r="O4" s="4"/>
      <c r="P4" s="273" t="s">
        <v>6</v>
      </c>
      <c r="Q4" s="274"/>
      <c r="R4" s="275"/>
      <c r="S4" s="2" t="s">
        <v>42</v>
      </c>
    </row>
    <row r="5" spans="1:20" ht="21.75" customHeight="1">
      <c r="A5" s="17"/>
      <c r="B5" s="46"/>
      <c r="C5" s="66" t="s">
        <v>3</v>
      </c>
      <c r="D5" s="110" t="s">
        <v>5</v>
      </c>
      <c r="E5" s="271"/>
      <c r="F5" s="272"/>
      <c r="G5" s="276" t="s">
        <v>40</v>
      </c>
      <c r="H5" s="277"/>
      <c r="I5" s="278"/>
      <c r="J5" s="276" t="s">
        <v>45</v>
      </c>
      <c r="K5" s="277"/>
      <c r="L5" s="278"/>
      <c r="M5" s="59"/>
      <c r="N5" s="19"/>
      <c r="O5" s="60"/>
      <c r="P5" s="59"/>
      <c r="Q5" s="19"/>
      <c r="R5" s="60"/>
      <c r="S5" s="61"/>
    </row>
    <row r="6" spans="1:20" ht="21.75" customHeight="1">
      <c r="A6" s="6"/>
      <c r="B6" s="40"/>
      <c r="C6" s="50"/>
      <c r="D6" s="40"/>
      <c r="E6" s="114" t="s">
        <v>43</v>
      </c>
      <c r="F6" s="67" t="s">
        <v>41</v>
      </c>
      <c r="G6" s="7">
        <v>2558</v>
      </c>
      <c r="H6" s="7">
        <v>2559</v>
      </c>
      <c r="I6" s="7">
        <v>2560</v>
      </c>
      <c r="J6" s="7">
        <v>2558</v>
      </c>
      <c r="K6" s="7">
        <v>2559</v>
      </c>
      <c r="L6" s="7">
        <v>2560</v>
      </c>
      <c r="M6" s="7">
        <v>2558</v>
      </c>
      <c r="N6" s="7">
        <v>2559</v>
      </c>
      <c r="O6" s="7">
        <v>2560</v>
      </c>
      <c r="P6" s="7">
        <v>2558</v>
      </c>
      <c r="Q6" s="7">
        <v>2559</v>
      </c>
      <c r="R6" s="7">
        <v>2560</v>
      </c>
      <c r="S6" s="62"/>
    </row>
    <row r="7" spans="1:20" ht="21.75" customHeight="1">
      <c r="A7" s="8"/>
      <c r="B7" s="143" t="s">
        <v>61</v>
      </c>
      <c r="C7" s="51"/>
      <c r="D7" s="107"/>
      <c r="E7" s="106"/>
      <c r="F7" s="145"/>
      <c r="G7" s="8"/>
      <c r="H7" s="2"/>
      <c r="I7" s="2"/>
      <c r="J7" s="2"/>
      <c r="K7" s="2"/>
      <c r="L7" s="2"/>
      <c r="M7" s="2"/>
      <c r="N7" s="9"/>
      <c r="O7" s="8"/>
      <c r="P7" s="8"/>
      <c r="Q7" s="2"/>
      <c r="R7" s="2"/>
      <c r="S7" s="61"/>
    </row>
    <row r="8" spans="1:20" ht="21.75" customHeight="1">
      <c r="A8" s="32" t="s">
        <v>290</v>
      </c>
      <c r="B8" s="41" t="s">
        <v>111</v>
      </c>
      <c r="C8" s="52">
        <v>8</v>
      </c>
      <c r="D8" s="86">
        <v>1</v>
      </c>
      <c r="E8" s="94" t="s">
        <v>8</v>
      </c>
      <c r="F8" s="36" t="s">
        <v>8</v>
      </c>
      <c r="G8" s="36">
        <v>1</v>
      </c>
      <c r="H8" s="12">
        <v>1</v>
      </c>
      <c r="I8" s="12">
        <v>1</v>
      </c>
      <c r="J8" s="185">
        <v>1</v>
      </c>
      <c r="K8" s="12" t="s">
        <v>8</v>
      </c>
      <c r="L8" s="12" t="s">
        <v>8</v>
      </c>
      <c r="M8" s="14">
        <f>481860+(11200*12)</f>
        <v>616260</v>
      </c>
      <c r="N8" s="15">
        <v>18120</v>
      </c>
      <c r="O8" s="26">
        <v>18120</v>
      </c>
      <c r="P8" s="26">
        <f>M8</f>
        <v>616260</v>
      </c>
      <c r="Q8" s="14">
        <f t="shared" ref="Q8:R10" si="0">P8+N8</f>
        <v>634380</v>
      </c>
      <c r="R8" s="14">
        <f t="shared" si="0"/>
        <v>652500</v>
      </c>
      <c r="S8" s="61"/>
    </row>
    <row r="9" spans="1:20" ht="21.75" customHeight="1">
      <c r="A9" s="32" t="s">
        <v>291</v>
      </c>
      <c r="B9" s="41" t="s">
        <v>112</v>
      </c>
      <c r="C9" s="52">
        <v>7</v>
      </c>
      <c r="D9" s="86">
        <v>1</v>
      </c>
      <c r="E9" s="94">
        <v>1</v>
      </c>
      <c r="F9" s="36">
        <f>24490*12</f>
        <v>293880</v>
      </c>
      <c r="G9" s="36">
        <v>1</v>
      </c>
      <c r="H9" s="12">
        <v>1</v>
      </c>
      <c r="I9" s="12">
        <v>1</v>
      </c>
      <c r="J9" s="12" t="s">
        <v>8</v>
      </c>
      <c r="K9" s="12" t="s">
        <v>8</v>
      </c>
      <c r="L9" s="12" t="s">
        <v>8</v>
      </c>
      <c r="M9" s="14">
        <f>(25470-24490)*12</f>
        <v>11760</v>
      </c>
      <c r="N9" s="14">
        <f>(26460-25470)*12</f>
        <v>11880</v>
      </c>
      <c r="O9" s="14">
        <f>(27480-26460)*12</f>
        <v>12240</v>
      </c>
      <c r="P9" s="26">
        <f>M9+F9</f>
        <v>305640</v>
      </c>
      <c r="Q9" s="14">
        <f t="shared" si="0"/>
        <v>317520</v>
      </c>
      <c r="R9" s="14">
        <f t="shared" si="0"/>
        <v>329760</v>
      </c>
      <c r="S9" s="61"/>
    </row>
    <row r="10" spans="1:20" ht="21.75" customHeight="1">
      <c r="A10" s="32" t="s">
        <v>292</v>
      </c>
      <c r="B10" s="41" t="s">
        <v>113</v>
      </c>
      <c r="C10" s="52">
        <v>6</v>
      </c>
      <c r="D10" s="86">
        <v>1</v>
      </c>
      <c r="E10" s="94" t="s">
        <v>8</v>
      </c>
      <c r="F10" s="36" t="s">
        <v>8</v>
      </c>
      <c r="G10" s="36">
        <v>1</v>
      </c>
      <c r="H10" s="12">
        <v>1</v>
      </c>
      <c r="I10" s="12">
        <v>1</v>
      </c>
      <c r="J10" s="185">
        <v>1</v>
      </c>
      <c r="K10" s="12" t="s">
        <v>8</v>
      </c>
      <c r="L10" s="12" t="s">
        <v>8</v>
      </c>
      <c r="M10" s="14">
        <v>278820</v>
      </c>
      <c r="N10" s="15">
        <v>10740</v>
      </c>
      <c r="O10" s="26">
        <v>10740</v>
      </c>
      <c r="P10" s="26">
        <f>M10</f>
        <v>278820</v>
      </c>
      <c r="Q10" s="14">
        <f t="shared" si="0"/>
        <v>289560</v>
      </c>
      <c r="R10" s="14">
        <f t="shared" si="0"/>
        <v>300300</v>
      </c>
      <c r="S10" s="61"/>
    </row>
    <row r="11" spans="1:20" ht="21.75" customHeight="1">
      <c r="A11" s="32" t="s">
        <v>293</v>
      </c>
      <c r="B11" s="41" t="s">
        <v>114</v>
      </c>
      <c r="C11" s="52" t="s">
        <v>37</v>
      </c>
      <c r="D11" s="86">
        <v>2</v>
      </c>
      <c r="E11" s="94">
        <v>2</v>
      </c>
      <c r="F11" s="36">
        <f>(22040+19970)*12</f>
        <v>504120</v>
      </c>
      <c r="G11" s="36">
        <v>2</v>
      </c>
      <c r="H11" s="12">
        <v>2</v>
      </c>
      <c r="I11" s="12">
        <v>2</v>
      </c>
      <c r="J11" s="12" t="s">
        <v>8</v>
      </c>
      <c r="K11" s="12" t="s">
        <v>8</v>
      </c>
      <c r="L11" s="12" t="s">
        <v>8</v>
      </c>
      <c r="M11" s="14">
        <f>10560+9720</f>
        <v>20280</v>
      </c>
      <c r="N11" s="15">
        <f>10800+10080</f>
        <v>20880</v>
      </c>
      <c r="O11" s="26">
        <f>10920+10440</f>
        <v>21360</v>
      </c>
      <c r="P11" s="26">
        <f>M11+F11</f>
        <v>524400</v>
      </c>
      <c r="Q11" s="14">
        <f t="shared" ref="Q11:R13" si="1">P11+N11</f>
        <v>545280</v>
      </c>
      <c r="R11" s="14">
        <f t="shared" si="1"/>
        <v>566640</v>
      </c>
      <c r="S11" s="61"/>
    </row>
    <row r="12" spans="1:20" ht="21.75" customHeight="1">
      <c r="A12" s="32" t="s">
        <v>294</v>
      </c>
      <c r="B12" s="41" t="s">
        <v>114</v>
      </c>
      <c r="C12" s="52">
        <v>5</v>
      </c>
      <c r="D12" s="86">
        <v>1</v>
      </c>
      <c r="E12" s="94">
        <v>1</v>
      </c>
      <c r="F12" s="36">
        <f>18950*12</f>
        <v>227400</v>
      </c>
      <c r="G12" s="36">
        <v>1</v>
      </c>
      <c r="H12" s="12">
        <v>1</v>
      </c>
      <c r="I12" s="12">
        <v>1</v>
      </c>
      <c r="J12" s="12" t="s">
        <v>8</v>
      </c>
      <c r="K12" s="12" t="s">
        <v>8</v>
      </c>
      <c r="L12" s="12" t="s">
        <v>8</v>
      </c>
      <c r="M12" s="14">
        <v>8520</v>
      </c>
      <c r="N12" s="15">
        <v>8880</v>
      </c>
      <c r="O12" s="26">
        <v>8880</v>
      </c>
      <c r="P12" s="26">
        <f>M12+F12</f>
        <v>235920</v>
      </c>
      <c r="Q12" s="14">
        <f t="shared" si="1"/>
        <v>244800</v>
      </c>
      <c r="R12" s="14">
        <f t="shared" si="1"/>
        <v>253680</v>
      </c>
      <c r="S12" s="61"/>
    </row>
    <row r="13" spans="1:20" ht="21.75" customHeight="1">
      <c r="A13" s="32" t="s">
        <v>295</v>
      </c>
      <c r="B13" s="41" t="s">
        <v>88</v>
      </c>
      <c r="C13" s="52">
        <v>2</v>
      </c>
      <c r="D13" s="86">
        <v>1</v>
      </c>
      <c r="E13" s="94">
        <v>1</v>
      </c>
      <c r="F13" s="36">
        <f>12650*12</f>
        <v>151800</v>
      </c>
      <c r="G13" s="36">
        <v>1</v>
      </c>
      <c r="H13" s="12">
        <v>1</v>
      </c>
      <c r="I13" s="12">
        <v>1</v>
      </c>
      <c r="J13" s="12" t="s">
        <v>8</v>
      </c>
      <c r="K13" s="12" t="s">
        <v>8</v>
      </c>
      <c r="L13" s="12" t="s">
        <v>8</v>
      </c>
      <c r="M13" s="14">
        <v>5976</v>
      </c>
      <c r="N13" s="15">
        <v>5976</v>
      </c>
      <c r="O13" s="26">
        <v>5976</v>
      </c>
      <c r="P13" s="26">
        <f>M13+F13</f>
        <v>157776</v>
      </c>
      <c r="Q13" s="14">
        <f t="shared" si="1"/>
        <v>163752</v>
      </c>
      <c r="R13" s="14">
        <f t="shared" si="1"/>
        <v>169728</v>
      </c>
      <c r="S13" s="61"/>
    </row>
    <row r="14" spans="1:20" ht="21.75" customHeight="1">
      <c r="A14" s="10"/>
      <c r="B14" s="41"/>
      <c r="C14" s="52"/>
      <c r="D14" s="86"/>
      <c r="E14" s="94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61"/>
      <c r="T14" s="85" t="s">
        <v>307</v>
      </c>
    </row>
    <row r="15" spans="1:20" ht="21.75" customHeight="1">
      <c r="A15" s="10"/>
      <c r="B15" s="144" t="s">
        <v>62</v>
      </c>
      <c r="C15" s="52"/>
      <c r="D15" s="94"/>
      <c r="E15" s="71"/>
      <c r="F15" s="14"/>
      <c r="G15" s="13"/>
      <c r="H15" s="12"/>
      <c r="I15" s="12"/>
      <c r="J15" s="12"/>
      <c r="K15" s="12"/>
      <c r="L15" s="12"/>
      <c r="M15" s="14"/>
      <c r="N15" s="15"/>
      <c r="O15" s="26"/>
      <c r="P15" s="26"/>
      <c r="Q15" s="14"/>
      <c r="R15" s="27"/>
      <c r="S15" s="61"/>
      <c r="T15" s="85"/>
    </row>
    <row r="16" spans="1:20" ht="21.75" customHeight="1">
      <c r="A16" s="32" t="s">
        <v>296</v>
      </c>
      <c r="B16" s="41" t="s">
        <v>146</v>
      </c>
      <c r="C16" s="52" t="s">
        <v>8</v>
      </c>
      <c r="D16" s="94">
        <v>2</v>
      </c>
      <c r="E16" s="71">
        <v>2</v>
      </c>
      <c r="F16" s="14">
        <f>16910*12+(180000)</f>
        <v>382920</v>
      </c>
      <c r="G16" s="13">
        <v>2</v>
      </c>
      <c r="H16" s="12">
        <v>2</v>
      </c>
      <c r="I16" s="12">
        <v>2</v>
      </c>
      <c r="J16" s="12" t="s">
        <v>8</v>
      </c>
      <c r="K16" s="12" t="s">
        <v>8</v>
      </c>
      <c r="L16" s="12" t="s">
        <v>8</v>
      </c>
      <c r="M16" s="14">
        <f>8160+7200</f>
        <v>15360</v>
      </c>
      <c r="N16" s="14">
        <f>8520+7560</f>
        <v>16080</v>
      </c>
      <c r="O16" s="14">
        <f>8880+7800</f>
        <v>16680</v>
      </c>
      <c r="P16" s="14">
        <f>F16+M16</f>
        <v>398280</v>
      </c>
      <c r="Q16" s="14">
        <f>P16+N16</f>
        <v>414360</v>
      </c>
      <c r="R16" s="27">
        <f>Q16+O16</f>
        <v>431040</v>
      </c>
      <c r="S16" s="61"/>
    </row>
    <row r="17" spans="1:19" ht="21.75" customHeight="1">
      <c r="A17" s="10"/>
      <c r="B17" s="41"/>
      <c r="C17" s="52"/>
      <c r="D17" s="94"/>
      <c r="E17" s="71"/>
      <c r="F17" s="150"/>
      <c r="G17" s="159"/>
      <c r="H17" s="156"/>
      <c r="I17" s="156"/>
      <c r="J17" s="156"/>
      <c r="K17" s="156"/>
      <c r="L17" s="156"/>
      <c r="M17" s="150"/>
      <c r="N17" s="151"/>
      <c r="O17" s="160"/>
      <c r="P17" s="160"/>
      <c r="Q17" s="150"/>
      <c r="R17" s="161"/>
      <c r="S17" s="61"/>
    </row>
    <row r="18" spans="1:19" ht="21.75" customHeight="1">
      <c r="A18" s="10"/>
      <c r="B18" s="144" t="s">
        <v>63</v>
      </c>
      <c r="C18" s="52"/>
      <c r="D18" s="94"/>
      <c r="E18" s="71"/>
      <c r="F18" s="14"/>
      <c r="G18" s="13"/>
      <c r="H18" s="12"/>
      <c r="I18" s="12"/>
      <c r="J18" s="12"/>
      <c r="K18" s="12"/>
      <c r="L18" s="12"/>
      <c r="M18" s="14"/>
      <c r="N18" s="15"/>
      <c r="O18" s="26"/>
      <c r="P18" s="26"/>
      <c r="Q18" s="14"/>
      <c r="R18" s="27"/>
      <c r="S18" s="61"/>
    </row>
    <row r="19" spans="1:19" ht="21.75" customHeight="1">
      <c r="A19" s="32" t="s">
        <v>297</v>
      </c>
      <c r="B19" s="41" t="s">
        <v>147</v>
      </c>
      <c r="C19" s="52" t="s">
        <v>8</v>
      </c>
      <c r="D19" s="94">
        <v>2</v>
      </c>
      <c r="E19" s="71" t="s">
        <v>8</v>
      </c>
      <c r="F19" s="14" t="s">
        <v>8</v>
      </c>
      <c r="G19" s="13">
        <v>1</v>
      </c>
      <c r="H19" s="12">
        <v>2</v>
      </c>
      <c r="I19" s="12">
        <v>2</v>
      </c>
      <c r="J19" s="185">
        <v>1</v>
      </c>
      <c r="K19" s="185">
        <v>1</v>
      </c>
      <c r="L19" s="185" t="s">
        <v>8</v>
      </c>
      <c r="M19" s="14">
        <f>9000*12</f>
        <v>108000</v>
      </c>
      <c r="N19" s="14">
        <f>9000*12</f>
        <v>108000</v>
      </c>
      <c r="O19" s="14" t="s">
        <v>8</v>
      </c>
      <c r="P19" s="26">
        <f>M19</f>
        <v>108000</v>
      </c>
      <c r="Q19" s="14">
        <f>P19+N19</f>
        <v>216000</v>
      </c>
      <c r="R19" s="27">
        <f>Q19</f>
        <v>216000</v>
      </c>
      <c r="S19" s="61"/>
    </row>
    <row r="20" spans="1:19" ht="21.75" customHeight="1">
      <c r="A20" s="10"/>
      <c r="B20" s="41"/>
      <c r="C20" s="52"/>
      <c r="D20" s="94"/>
      <c r="E20" s="71"/>
      <c r="F20" s="14"/>
      <c r="G20" s="13"/>
      <c r="H20" s="12"/>
      <c r="I20" s="12"/>
      <c r="J20" s="12"/>
      <c r="K20" s="12"/>
      <c r="L20" s="12"/>
      <c r="M20" s="14"/>
      <c r="N20" s="15"/>
      <c r="O20" s="26"/>
      <c r="P20" s="26"/>
      <c r="Q20" s="14"/>
      <c r="R20" s="27"/>
      <c r="S20" s="61"/>
    </row>
    <row r="21" spans="1:19" ht="21.75" customHeight="1">
      <c r="A21" s="10"/>
      <c r="B21" s="41"/>
      <c r="C21" s="52"/>
      <c r="D21" s="94"/>
      <c r="E21" s="71"/>
      <c r="F21" s="14"/>
      <c r="G21" s="13"/>
      <c r="H21" s="12"/>
      <c r="I21" s="12"/>
      <c r="J21" s="12"/>
      <c r="K21" s="12"/>
      <c r="L21" s="12"/>
      <c r="M21" s="14"/>
      <c r="N21" s="15"/>
      <c r="O21" s="26"/>
      <c r="P21" s="26"/>
      <c r="Q21" s="14"/>
      <c r="R21" s="27"/>
      <c r="S21" s="61"/>
    </row>
    <row r="22" spans="1:19" ht="21.75" customHeight="1">
      <c r="A22" s="10"/>
      <c r="B22" s="41"/>
      <c r="C22" s="52"/>
      <c r="D22" s="94"/>
      <c r="E22" s="71"/>
      <c r="F22" s="14"/>
      <c r="G22" s="13"/>
      <c r="H22" s="12"/>
      <c r="I22" s="12"/>
      <c r="J22" s="12"/>
      <c r="K22" s="12"/>
      <c r="L22" s="12"/>
      <c r="M22" s="14"/>
      <c r="N22" s="15"/>
      <c r="O22" s="26"/>
      <c r="P22" s="26"/>
      <c r="Q22" s="14"/>
      <c r="R22" s="27"/>
      <c r="S22" s="61"/>
    </row>
    <row r="23" spans="1:19" ht="21.75" customHeight="1">
      <c r="A23" s="10"/>
      <c r="B23" s="41"/>
      <c r="C23" s="52"/>
      <c r="D23" s="94"/>
      <c r="E23" s="71"/>
      <c r="F23" s="14"/>
      <c r="G23" s="13"/>
      <c r="H23" s="12"/>
      <c r="I23" s="12"/>
      <c r="J23" s="12"/>
      <c r="K23" s="12"/>
      <c r="L23" s="12"/>
      <c r="M23" s="14"/>
      <c r="N23" s="15"/>
      <c r="O23" s="26"/>
      <c r="P23" s="26"/>
      <c r="Q23" s="14"/>
      <c r="R23" s="27"/>
      <c r="S23" s="61"/>
    </row>
    <row r="24" spans="1:19" ht="21.75" customHeight="1">
      <c r="A24" s="18"/>
      <c r="B24" s="45"/>
      <c r="C24" s="52"/>
      <c r="D24" s="43"/>
      <c r="E24" s="100"/>
      <c r="F24" s="14"/>
      <c r="G24" s="21"/>
      <c r="H24" s="20"/>
      <c r="I24" s="20"/>
      <c r="J24" s="20"/>
      <c r="K24" s="20"/>
      <c r="L24" s="20"/>
      <c r="M24" s="22"/>
      <c r="N24" s="23"/>
      <c r="O24" s="28"/>
      <c r="P24" s="28"/>
      <c r="Q24" s="22"/>
      <c r="R24" s="29"/>
      <c r="S24" s="62"/>
    </row>
    <row r="25" spans="1:19" s="25" customFormat="1" ht="21.75" customHeight="1">
      <c r="A25" s="24"/>
      <c r="B25" s="43" t="s">
        <v>9</v>
      </c>
      <c r="C25" s="54"/>
      <c r="D25" s="43">
        <f>SUM(D8:D24)</f>
        <v>11</v>
      </c>
      <c r="E25" s="43">
        <f>SUM(E8:E24)</f>
        <v>7</v>
      </c>
      <c r="F25" s="30">
        <f>SUM(F8:F24)</f>
        <v>1560120</v>
      </c>
      <c r="G25" s="20">
        <f>SUM(G8:G24)</f>
        <v>10</v>
      </c>
      <c r="H25" s="20">
        <f t="shared" ref="H25:I25" si="2">SUM(H8:H24)</f>
        <v>11</v>
      </c>
      <c r="I25" s="20">
        <f t="shared" si="2"/>
        <v>11</v>
      </c>
      <c r="J25" s="189">
        <f>SUM(J8:J22)</f>
        <v>3</v>
      </c>
      <c r="K25" s="189">
        <f>SUM(K8:K22)</f>
        <v>1</v>
      </c>
      <c r="L25" s="189" t="s">
        <v>8</v>
      </c>
      <c r="M25" s="43">
        <f>SUM(M8:M24)</f>
        <v>1064976</v>
      </c>
      <c r="N25" s="20">
        <f>SUM(N8:N24)</f>
        <v>200556</v>
      </c>
      <c r="O25" s="20">
        <f t="shared" ref="O25:R25" si="3">SUM(O8:O24)</f>
        <v>93996</v>
      </c>
      <c r="P25" s="20">
        <f t="shared" si="3"/>
        <v>2625096</v>
      </c>
      <c r="Q25" s="20">
        <f t="shared" si="3"/>
        <v>2825652</v>
      </c>
      <c r="R25" s="20">
        <f t="shared" si="3"/>
        <v>2919648</v>
      </c>
      <c r="S25" s="63"/>
    </row>
    <row r="26" spans="1:19" s="25" customFormat="1" ht="21.75" customHeight="1">
      <c r="A26" s="13"/>
      <c r="B26" s="71"/>
      <c r="C26" s="52"/>
      <c r="D26" s="71"/>
      <c r="E26" s="71"/>
      <c r="F26" s="13"/>
      <c r="G26" s="13"/>
      <c r="H26" s="13"/>
      <c r="I26" s="13"/>
      <c r="J26" s="72"/>
      <c r="K26" s="72"/>
      <c r="L26" s="72"/>
      <c r="M26" s="13"/>
      <c r="N26" s="13"/>
      <c r="O26" s="13"/>
      <c r="P26" s="13"/>
      <c r="Q26" s="13"/>
      <c r="R26" s="13"/>
      <c r="S26" s="73"/>
    </row>
    <row r="27" spans="1:19" s="25" customFormat="1" ht="21.75" customHeight="1">
      <c r="A27" s="13"/>
      <c r="B27" s="71"/>
      <c r="C27" s="52"/>
      <c r="D27" s="71"/>
      <c r="E27" s="71"/>
      <c r="F27" s="13"/>
      <c r="G27" s="13"/>
      <c r="H27" s="13"/>
      <c r="I27" s="13"/>
      <c r="J27" s="72"/>
      <c r="K27" s="72"/>
      <c r="L27" s="72"/>
      <c r="M27" s="13"/>
      <c r="N27" s="13"/>
      <c r="O27" s="13"/>
      <c r="P27" s="13"/>
      <c r="Q27" s="13"/>
      <c r="R27" s="13"/>
      <c r="S27" s="73"/>
    </row>
    <row r="28" spans="1:19" s="33" customFormat="1" ht="21.75" customHeight="1">
      <c r="A28" s="11"/>
      <c r="B28" s="48"/>
      <c r="C28" s="52"/>
      <c r="D28" s="44"/>
      <c r="E28" s="44"/>
      <c r="F28" s="34"/>
      <c r="G28" s="11"/>
      <c r="H28" s="11"/>
      <c r="I28" s="11"/>
      <c r="J28" s="11"/>
      <c r="K28" s="11"/>
      <c r="L28" s="11"/>
      <c r="M28" s="35"/>
      <c r="N28" s="35"/>
      <c r="O28" s="35"/>
      <c r="P28" s="35"/>
      <c r="Q28" s="35"/>
      <c r="R28" s="35"/>
    </row>
    <row r="29" spans="1:19" s="33" customFormat="1" ht="21.75" customHeight="1">
      <c r="A29" s="11"/>
      <c r="B29" s="48"/>
      <c r="C29" s="52"/>
      <c r="D29" s="44"/>
      <c r="E29" s="44"/>
      <c r="F29" s="34"/>
      <c r="G29" s="11"/>
      <c r="H29" s="11"/>
      <c r="I29" s="11"/>
      <c r="J29" s="11"/>
      <c r="K29" s="11"/>
      <c r="L29" s="11"/>
      <c r="M29" s="35"/>
      <c r="N29" s="35"/>
      <c r="O29" s="35"/>
      <c r="P29" s="35"/>
      <c r="Q29" s="35"/>
      <c r="R29" s="35"/>
    </row>
    <row r="30" spans="1:19" s="33" customFormat="1" ht="21.75" customHeight="1">
      <c r="A30" s="11"/>
      <c r="B30" s="48"/>
      <c r="C30" s="52"/>
      <c r="D30" s="44"/>
      <c r="E30" s="44"/>
      <c r="F30" s="34"/>
      <c r="G30" s="11"/>
      <c r="H30" s="11"/>
      <c r="I30" s="11"/>
      <c r="J30" s="11"/>
      <c r="K30" s="11"/>
      <c r="L30" s="11"/>
      <c r="M30" s="35"/>
      <c r="N30" s="35"/>
      <c r="O30" s="35"/>
      <c r="P30" s="35"/>
      <c r="Q30" s="35"/>
      <c r="R30" s="35"/>
    </row>
    <row r="31" spans="1:19" s="33" customFormat="1" ht="21.75" customHeight="1">
      <c r="A31" s="11"/>
      <c r="B31" s="48"/>
      <c r="C31" s="52"/>
      <c r="D31" s="44"/>
      <c r="E31" s="44"/>
      <c r="F31" s="34"/>
      <c r="G31" s="11"/>
      <c r="H31" s="11"/>
      <c r="I31" s="11"/>
      <c r="J31" s="11"/>
      <c r="K31" s="11"/>
      <c r="L31" s="11"/>
      <c r="M31" s="35"/>
      <c r="N31" s="35"/>
      <c r="O31" s="35"/>
      <c r="P31" s="35"/>
      <c r="Q31" s="35"/>
      <c r="R31" s="35"/>
    </row>
    <row r="32" spans="1:19" s="33" customFormat="1" ht="21.75" customHeight="1">
      <c r="A32" s="11"/>
      <c r="B32" s="48"/>
      <c r="C32" s="52"/>
      <c r="D32" s="44"/>
      <c r="E32" s="44"/>
      <c r="F32" s="34"/>
      <c r="G32" s="11"/>
      <c r="H32" s="11"/>
      <c r="I32" s="11"/>
      <c r="J32" s="11"/>
      <c r="K32" s="11"/>
      <c r="L32" s="11"/>
      <c r="M32" s="34"/>
      <c r="N32" s="34"/>
      <c r="O32" s="34"/>
      <c r="P32" s="34"/>
      <c r="Q32" s="34"/>
      <c r="R32" s="35"/>
    </row>
    <row r="33" spans="1:18" s="33" customFormat="1" ht="21.75" customHeight="1">
      <c r="A33" s="11"/>
      <c r="B33" s="48"/>
      <c r="C33" s="52"/>
      <c r="D33" s="44"/>
      <c r="E33" s="44"/>
      <c r="F33" s="34"/>
      <c r="G33" s="11"/>
      <c r="H33" s="11"/>
      <c r="I33" s="11"/>
      <c r="J33" s="11"/>
      <c r="K33" s="11"/>
      <c r="L33" s="11"/>
      <c r="M33" s="34"/>
      <c r="N33" s="34"/>
      <c r="O33" s="34"/>
      <c r="P33" s="34"/>
      <c r="Q33" s="34"/>
      <c r="R33" s="35"/>
    </row>
    <row r="34" spans="1:18" s="33" customFormat="1" ht="21.75" customHeight="1">
      <c r="A34" s="11"/>
      <c r="B34" s="48"/>
      <c r="C34" s="52"/>
      <c r="D34" s="44"/>
      <c r="E34" s="44"/>
      <c r="F34" s="34"/>
      <c r="G34" s="11"/>
      <c r="H34" s="11"/>
      <c r="I34" s="11"/>
      <c r="J34" s="11"/>
      <c r="K34" s="11"/>
      <c r="L34" s="11"/>
      <c r="M34" s="35"/>
      <c r="N34" s="35"/>
      <c r="O34" s="35"/>
      <c r="P34" s="35"/>
      <c r="Q34" s="35"/>
      <c r="R34" s="35"/>
    </row>
    <row r="35" spans="1:18" s="33" customFormat="1" ht="21.75" customHeight="1">
      <c r="A35" s="11"/>
      <c r="B35" s="48"/>
      <c r="C35" s="52"/>
      <c r="D35" s="44"/>
      <c r="E35" s="44"/>
      <c r="F35" s="34"/>
      <c r="G35" s="11"/>
      <c r="H35" s="11"/>
      <c r="I35" s="11"/>
      <c r="J35" s="11"/>
      <c r="K35" s="11"/>
      <c r="L35" s="11"/>
      <c r="M35" s="34"/>
      <c r="N35" s="34"/>
      <c r="O35" s="34"/>
      <c r="P35" s="34"/>
      <c r="Q35" s="34"/>
      <c r="R35" s="34"/>
    </row>
    <row r="36" spans="1:18" s="33" customFormat="1" ht="21.75" customHeight="1">
      <c r="A36" s="11"/>
      <c r="B36" s="48"/>
      <c r="C36" s="56"/>
      <c r="D36" s="44"/>
      <c r="E36" s="44"/>
      <c r="F36" s="34"/>
      <c r="G36" s="11"/>
      <c r="H36" s="11"/>
      <c r="I36" s="11"/>
      <c r="J36" s="11"/>
      <c r="K36" s="11"/>
      <c r="L36" s="11"/>
      <c r="M36" s="34"/>
      <c r="N36" s="34"/>
      <c r="O36" s="34"/>
      <c r="P36" s="34"/>
      <c r="Q36" s="34"/>
      <c r="R36" s="34"/>
    </row>
    <row r="37" spans="1:18" s="33" customFormat="1" ht="21.75" customHeight="1">
      <c r="A37" s="11"/>
      <c r="B37" s="48"/>
      <c r="C37" s="52"/>
      <c r="D37" s="44"/>
      <c r="E37" s="44"/>
      <c r="F37" s="34"/>
      <c r="G37" s="11"/>
      <c r="H37" s="11"/>
      <c r="I37" s="11"/>
      <c r="J37" s="11"/>
      <c r="K37" s="11"/>
      <c r="L37" s="11"/>
      <c r="M37" s="34"/>
      <c r="N37" s="34"/>
      <c r="O37" s="34"/>
      <c r="P37" s="34"/>
      <c r="Q37" s="34"/>
      <c r="R37" s="34"/>
    </row>
    <row r="38" spans="1:18" s="33" customFormat="1" ht="21.75" customHeight="1">
      <c r="A38" s="11"/>
      <c r="B38" s="48"/>
      <c r="C38" s="52"/>
      <c r="D38" s="44"/>
      <c r="E38" s="44"/>
      <c r="F38" s="34"/>
      <c r="G38" s="11"/>
      <c r="H38" s="11"/>
      <c r="I38" s="11"/>
      <c r="J38" s="11"/>
      <c r="K38" s="11"/>
      <c r="L38" s="11"/>
      <c r="M38" s="34"/>
      <c r="N38" s="34"/>
      <c r="O38" s="34"/>
      <c r="P38" s="34"/>
      <c r="Q38" s="34"/>
      <c r="R38" s="35"/>
    </row>
    <row r="39" spans="1:18" s="33" customFormat="1" ht="21.75" customHeight="1">
      <c r="A39" s="11"/>
      <c r="B39" s="48"/>
      <c r="C39" s="52"/>
      <c r="D39" s="44"/>
      <c r="E39" s="44"/>
      <c r="F39" s="34"/>
      <c r="G39" s="11"/>
      <c r="H39" s="11"/>
      <c r="I39" s="11"/>
      <c r="J39" s="11"/>
      <c r="K39" s="11"/>
      <c r="L39" s="11"/>
      <c r="M39" s="34"/>
      <c r="N39" s="34"/>
      <c r="O39" s="34"/>
      <c r="P39" s="34"/>
      <c r="Q39" s="34"/>
      <c r="R39" s="35"/>
    </row>
    <row r="40" spans="1:18" ht="21.75" customHeight="1">
      <c r="A40" s="11"/>
      <c r="B40" s="48"/>
      <c r="C40" s="52"/>
      <c r="D40" s="44"/>
      <c r="E40" s="44"/>
      <c r="F40" s="34"/>
      <c r="G40" s="11"/>
      <c r="H40" s="11"/>
      <c r="I40" s="11"/>
      <c r="J40" s="11"/>
      <c r="K40" s="11"/>
      <c r="L40" s="11"/>
      <c r="M40" s="35"/>
      <c r="N40" s="35"/>
      <c r="O40" s="35"/>
      <c r="P40" s="35"/>
      <c r="Q40" s="35"/>
      <c r="R40" s="35"/>
    </row>
    <row r="41" spans="1:18" ht="21.75" customHeight="1">
      <c r="A41" s="11"/>
      <c r="B41" s="48"/>
      <c r="C41" s="57"/>
      <c r="D41" s="44"/>
      <c r="E41" s="44"/>
      <c r="F41" s="34"/>
      <c r="G41" s="11"/>
      <c r="H41" s="11"/>
      <c r="I41" s="11"/>
      <c r="J41" s="11"/>
      <c r="K41" s="11"/>
      <c r="L41" s="11"/>
      <c r="M41" s="35"/>
      <c r="N41" s="35"/>
      <c r="O41" s="35"/>
      <c r="P41" s="35"/>
      <c r="Q41" s="35"/>
      <c r="R41" s="35"/>
    </row>
    <row r="42" spans="1:18" ht="21.75" customHeight="1">
      <c r="A42" s="11"/>
      <c r="B42" s="44"/>
      <c r="C42" s="52"/>
      <c r="D42" s="44"/>
      <c r="E42" s="44"/>
      <c r="F42" s="35"/>
      <c r="G42" s="11"/>
      <c r="H42" s="11"/>
      <c r="I42" s="11"/>
      <c r="J42" s="11"/>
      <c r="K42" s="11"/>
      <c r="L42" s="11"/>
      <c r="M42" s="35"/>
      <c r="N42" s="35"/>
      <c r="O42" s="35"/>
      <c r="P42" s="35"/>
      <c r="Q42" s="35"/>
      <c r="R42" s="35"/>
    </row>
  </sheetData>
  <mergeCells count="9">
    <mergeCell ref="A1:R1"/>
    <mergeCell ref="A2:R2"/>
    <mergeCell ref="A3:R3"/>
    <mergeCell ref="E4:F5"/>
    <mergeCell ref="G4:I4"/>
    <mergeCell ref="J4:L4"/>
    <mergeCell ref="P4:R4"/>
    <mergeCell ref="G5:I5"/>
    <mergeCell ref="J5:L5"/>
  </mergeCells>
  <pageMargins left="0.31" right="0.17" top="0.62" bottom="0.18" header="0.65" footer="0.17"/>
  <pageSetup paperSize="9" orientation="landscape" horizontalDpi="4294967294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T31"/>
  <sheetViews>
    <sheetView tabSelected="1" view="pageBreakPreview" workbookViewId="0">
      <selection activeCell="J16" sqref="J16"/>
    </sheetView>
  </sheetViews>
  <sheetFormatPr defaultRowHeight="21.75" customHeight="1"/>
  <cols>
    <col min="1" max="1" width="3.7109375" style="38" customWidth="1"/>
    <col min="2" max="2" width="21.7109375" style="49" customWidth="1"/>
    <col min="3" max="3" width="6" style="58" customWidth="1"/>
    <col min="4" max="4" width="5.7109375" style="49" customWidth="1"/>
    <col min="5" max="5" width="7.85546875" style="49" customWidth="1"/>
    <col min="6" max="6" width="9" style="5" customWidth="1"/>
    <col min="7" max="12" width="6.28515625" style="5" customWidth="1"/>
    <col min="13" max="15" width="8.28515625" style="5" customWidth="1"/>
    <col min="16" max="18" width="8.7109375" style="5" customWidth="1"/>
    <col min="19" max="19" width="8" style="5" customWidth="1"/>
    <col min="20" max="20" width="4" style="5" customWidth="1"/>
    <col min="21" max="16384" width="9.140625" style="5"/>
  </cols>
  <sheetData>
    <row r="1" spans="1:20" s="1" customFormat="1" ht="21.75" customHeight="1">
      <c r="A1" s="267" t="s">
        <v>298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20" s="1" customFormat="1" ht="21.75" customHeight="1">
      <c r="A2" s="267" t="s">
        <v>33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20" s="1" customFormat="1" ht="21.75" customHeight="1">
      <c r="A3" s="268" t="s">
        <v>19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ht="21.75" customHeight="1">
      <c r="A4" s="2" t="s">
        <v>0</v>
      </c>
      <c r="B4" s="39" t="s">
        <v>1</v>
      </c>
      <c r="C4" s="65" t="s">
        <v>2</v>
      </c>
      <c r="D4" s="106" t="s">
        <v>4</v>
      </c>
      <c r="E4" s="269" t="s">
        <v>38</v>
      </c>
      <c r="F4" s="270"/>
      <c r="G4" s="273" t="s">
        <v>39</v>
      </c>
      <c r="H4" s="274"/>
      <c r="I4" s="275"/>
      <c r="J4" s="273" t="s">
        <v>44</v>
      </c>
      <c r="K4" s="274"/>
      <c r="L4" s="275"/>
      <c r="M4" s="3"/>
      <c r="N4" s="245" t="s">
        <v>7</v>
      </c>
      <c r="O4" s="4"/>
      <c r="P4" s="273" t="s">
        <v>6</v>
      </c>
      <c r="Q4" s="274"/>
      <c r="R4" s="275"/>
      <c r="S4" s="2" t="s">
        <v>42</v>
      </c>
    </row>
    <row r="5" spans="1:20" ht="21.75" customHeight="1">
      <c r="A5" s="17"/>
      <c r="B5" s="46"/>
      <c r="C5" s="66" t="s">
        <v>3</v>
      </c>
      <c r="D5" s="110" t="s">
        <v>5</v>
      </c>
      <c r="E5" s="271"/>
      <c r="F5" s="272"/>
      <c r="G5" s="276" t="s">
        <v>40</v>
      </c>
      <c r="H5" s="277"/>
      <c r="I5" s="278"/>
      <c r="J5" s="276" t="s">
        <v>45</v>
      </c>
      <c r="K5" s="277"/>
      <c r="L5" s="278"/>
      <c r="M5" s="59"/>
      <c r="N5" s="19"/>
      <c r="O5" s="60"/>
      <c r="P5" s="59"/>
      <c r="Q5" s="19"/>
      <c r="R5" s="60"/>
      <c r="S5" s="61"/>
    </row>
    <row r="6" spans="1:20" ht="21.75" customHeight="1">
      <c r="A6" s="6"/>
      <c r="B6" s="40"/>
      <c r="C6" s="50"/>
      <c r="D6" s="40"/>
      <c r="E6" s="114" t="s">
        <v>43</v>
      </c>
      <c r="F6" s="67" t="s">
        <v>41</v>
      </c>
      <c r="G6" s="7">
        <v>2558</v>
      </c>
      <c r="H6" s="7">
        <v>2559</v>
      </c>
      <c r="I6" s="7">
        <v>2560</v>
      </c>
      <c r="J6" s="7">
        <v>2558</v>
      </c>
      <c r="K6" s="7">
        <v>2559</v>
      </c>
      <c r="L6" s="7">
        <v>2560</v>
      </c>
      <c r="M6" s="7">
        <v>2558</v>
      </c>
      <c r="N6" s="7">
        <v>2559</v>
      </c>
      <c r="O6" s="7">
        <v>2560</v>
      </c>
      <c r="P6" s="7">
        <v>2558</v>
      </c>
      <c r="Q6" s="7">
        <v>2559</v>
      </c>
      <c r="R6" s="7">
        <v>2560</v>
      </c>
      <c r="S6" s="62"/>
    </row>
    <row r="7" spans="1:20" ht="21.75" customHeight="1">
      <c r="A7" s="244"/>
      <c r="B7" s="143" t="s">
        <v>61</v>
      </c>
      <c r="C7" s="51"/>
      <c r="D7" s="39"/>
      <c r="E7" s="141"/>
      <c r="F7" s="142"/>
      <c r="G7" s="245"/>
      <c r="H7" s="2"/>
      <c r="I7" s="2"/>
      <c r="J7" s="2"/>
      <c r="K7" s="2"/>
      <c r="L7" s="2"/>
      <c r="M7" s="2"/>
      <c r="N7" s="245"/>
      <c r="O7" s="244"/>
      <c r="P7" s="244"/>
      <c r="Q7" s="2"/>
      <c r="R7" s="246"/>
      <c r="S7" s="64"/>
    </row>
    <row r="8" spans="1:20" ht="21.75" customHeight="1">
      <c r="A8" s="10">
        <v>112</v>
      </c>
      <c r="B8" s="41" t="s">
        <v>115</v>
      </c>
      <c r="C8" s="146" t="s">
        <v>35</v>
      </c>
      <c r="D8" s="94">
        <v>1</v>
      </c>
      <c r="E8" s="71" t="s">
        <v>8</v>
      </c>
      <c r="F8" s="14" t="s">
        <v>25</v>
      </c>
      <c r="G8" s="13">
        <v>1</v>
      </c>
      <c r="H8" s="12">
        <v>1</v>
      </c>
      <c r="I8" s="12">
        <v>1</v>
      </c>
      <c r="J8" s="185">
        <v>1</v>
      </c>
      <c r="K8" s="12" t="s">
        <v>8</v>
      </c>
      <c r="L8" s="12" t="s">
        <v>8</v>
      </c>
      <c r="M8" s="14">
        <v>242700</v>
      </c>
      <c r="N8" s="15">
        <v>8580</v>
      </c>
      <c r="O8" s="26">
        <v>8580</v>
      </c>
      <c r="P8" s="26">
        <f>M8</f>
        <v>242700</v>
      </c>
      <c r="Q8" s="14">
        <f>P8+N8</f>
        <v>251280</v>
      </c>
      <c r="R8" s="27">
        <f>Q8+O8</f>
        <v>259860</v>
      </c>
      <c r="S8" s="61"/>
    </row>
    <row r="9" spans="1:20" ht="21.75" customHeight="1">
      <c r="A9" s="10"/>
      <c r="B9" s="41"/>
      <c r="C9" s="52"/>
      <c r="D9" s="94"/>
      <c r="E9" s="71"/>
      <c r="F9" s="14"/>
      <c r="G9" s="13"/>
      <c r="H9" s="12"/>
      <c r="I9" s="12"/>
      <c r="J9" s="12"/>
      <c r="K9" s="12"/>
      <c r="L9" s="12"/>
      <c r="M9" s="14"/>
      <c r="N9" s="15"/>
      <c r="O9" s="26"/>
      <c r="P9" s="26"/>
      <c r="Q9" s="14"/>
      <c r="R9" s="27"/>
      <c r="S9" s="61"/>
    </row>
    <row r="10" spans="1:20" ht="21.75" customHeight="1">
      <c r="A10" s="10"/>
      <c r="B10" s="41"/>
      <c r="C10" s="52"/>
      <c r="D10" s="94"/>
      <c r="E10" s="71"/>
      <c r="F10" s="14"/>
      <c r="G10" s="13"/>
      <c r="H10" s="12"/>
      <c r="I10" s="12"/>
      <c r="J10" s="12"/>
      <c r="K10" s="12"/>
      <c r="L10" s="12"/>
      <c r="M10" s="14"/>
      <c r="N10" s="15"/>
      <c r="O10" s="26"/>
      <c r="P10" s="26"/>
      <c r="Q10" s="14"/>
      <c r="R10" s="27"/>
      <c r="S10" s="61"/>
    </row>
    <row r="11" spans="1:20" ht="21.75" customHeight="1">
      <c r="A11" s="18"/>
      <c r="B11" s="45"/>
      <c r="C11" s="52"/>
      <c r="D11" s="43"/>
      <c r="E11" s="100"/>
      <c r="F11" s="14"/>
      <c r="G11" s="21"/>
      <c r="H11" s="20"/>
      <c r="I11" s="20"/>
      <c r="J11" s="20"/>
      <c r="K11" s="20"/>
      <c r="L11" s="20"/>
      <c r="M11" s="22"/>
      <c r="N11" s="23"/>
      <c r="O11" s="28"/>
      <c r="P11" s="28"/>
      <c r="Q11" s="22"/>
      <c r="R11" s="29"/>
      <c r="S11" s="62"/>
    </row>
    <row r="12" spans="1:20" s="25" customFormat="1" ht="21.75" customHeight="1">
      <c r="A12" s="37"/>
      <c r="B12" s="47" t="s">
        <v>9</v>
      </c>
      <c r="C12" s="54" t="s">
        <v>8</v>
      </c>
      <c r="D12" s="47">
        <f>SUM(D8:D11)</f>
        <v>1</v>
      </c>
      <c r="E12" s="47" t="s">
        <v>8</v>
      </c>
      <c r="F12" s="30" t="s">
        <v>8</v>
      </c>
      <c r="G12" s="30">
        <f>SUM(G8:G11)</f>
        <v>1</v>
      </c>
      <c r="H12" s="30">
        <v>1</v>
      </c>
      <c r="I12" s="30">
        <v>1</v>
      </c>
      <c r="J12" s="185">
        <v>1</v>
      </c>
      <c r="K12" s="30" t="s">
        <v>8</v>
      </c>
      <c r="L12" s="30" t="s">
        <v>8</v>
      </c>
      <c r="M12" s="30">
        <f t="shared" ref="M12:R12" si="0">SUM(M8:M11)</f>
        <v>242700</v>
      </c>
      <c r="N12" s="30">
        <f t="shared" si="0"/>
        <v>8580</v>
      </c>
      <c r="O12" s="30">
        <f t="shared" si="0"/>
        <v>8580</v>
      </c>
      <c r="P12" s="30">
        <f t="shared" si="0"/>
        <v>242700</v>
      </c>
      <c r="Q12" s="30">
        <f t="shared" si="0"/>
        <v>251280</v>
      </c>
      <c r="R12" s="30">
        <f t="shared" si="0"/>
        <v>259860</v>
      </c>
      <c r="S12" s="63"/>
    </row>
    <row r="13" spans="1:20" s="69" customFormat="1" ht="21.75" customHeight="1">
      <c r="A13" s="80"/>
      <c r="B13" s="80" t="s">
        <v>48</v>
      </c>
      <c r="C13" s="81"/>
      <c r="D13" s="80">
        <f>สำนักปลัด!D35+คลัง!D28+ช่าง!D33+สาธารณสุข!D33+วิชาการ!D22+ศึกษา!D22+สวัสดิการ!D25+D12</f>
        <v>270</v>
      </c>
      <c r="E13" s="80">
        <f>สำนักปลัด!E35+คลัง!E28+ช่าง!E33+สาธารณสุข!E33+วิชาการ!E22+ศึกษา!E22+สวัสดิการ!E25</f>
        <v>234</v>
      </c>
      <c r="F13" s="80">
        <f>สำนักปลัด!F35+คลัง!F28+ช่าง!F33+สาธารณสุข!F33+วิชาการ!F22+ศึกษา!F22+สวัสดิการ!F25</f>
        <v>41859960</v>
      </c>
      <c r="G13" s="80">
        <f>สำนักปลัด!G35+คลัง!G28+ช่าง!G33+สาธารณสุข!G33+วิชาการ!G22+ศึกษา!G22+สวัสดิการ!G25+G12</f>
        <v>262</v>
      </c>
      <c r="H13" s="80">
        <f>สำนักปลัด!H35+คลัง!H28+ช่าง!H33+สาธารณสุข!H33+วิชาการ!H22+ศึกษา!H22+สวัสดิการ!H25+H12</f>
        <v>268</v>
      </c>
      <c r="I13" s="80">
        <f>สำนักปลัด!I35+คลัง!I28+ช่าง!I33+สาธารณสุข!I33+วิชาการ!I22+ศึกษา!I22+สวัสดิการ!I25+I12</f>
        <v>271</v>
      </c>
      <c r="J13" s="230">
        <f>สำนักปลัด!J35+คลัง!J28+ช่าง!J33+สาธารณสุข!J33+วิชาการ!J22+ศึกษา!J22+สวัสดิการ!J25+J12</f>
        <v>28</v>
      </c>
      <c r="K13" s="230">
        <f>สำนักปลัด!K35+คลัง!K28+ช่าง!K33+สาธารณสุข!K33+ศึกษา!K22+สวัสดิการ!K25</f>
        <v>6</v>
      </c>
      <c r="L13" s="230">
        <f>สาธารณสุข!L33+ศึกษา!L22+คลัง!L28</f>
        <v>3</v>
      </c>
      <c r="M13" s="80">
        <f>สำนักปลัด!M35+คลัง!M28+ช่าง!M33+สาธารณสุข!M33+วิชาการ!M22+ศึกษา!M22+สวัสดิการ!M25+M12</f>
        <v>7433556</v>
      </c>
      <c r="N13" s="80">
        <f>สำนักปลัด!N35+คลัง!N28+ช่าง!N33+สาธารณสุข!N33+วิชาการ!N22+ศึกษา!N22+สวัสดิการ!N25+N12</f>
        <v>1960596</v>
      </c>
      <c r="O13" s="80">
        <f>สำนักปลัด!O35+คลัง!O28+ช่าง!O33+สาธารณสุข!O33+วิชาการ!O22+ศึกษา!O22+สวัสดิการ!O25+O12</f>
        <v>1677264</v>
      </c>
      <c r="P13" s="80">
        <f>สำนักปลัด!P35+คลัง!P28+ช่าง!P33+สาธารณสุข!P33+วิชาการ!P22+ศึกษา!P22+สวัสดิการ!P25+P12</f>
        <v>44055156</v>
      </c>
      <c r="Q13" s="80">
        <f>สำนักปลัด!Q35+คลัง!Q28+ช่าง!Q33+สาธารณสุข!Q33+วิชาการ!Q22+ศึกษา!Q22+สวัสดิการ!Q25+Q12</f>
        <v>46015752</v>
      </c>
      <c r="R13" s="80">
        <f>สำนักปลัด!R35+คลัง!R28+ช่าง!R33+สาธารณสุข!R33+วิชาการ!R22+ศึกษา!R22+สวัสดิการ!R25+R12</f>
        <v>48690936</v>
      </c>
      <c r="S13" s="82"/>
      <c r="T13" s="85" t="s">
        <v>308</v>
      </c>
    </row>
    <row r="14" spans="1:20" s="33" customFormat="1" ht="21.75" customHeight="1">
      <c r="A14" s="11"/>
      <c r="B14" s="262" t="s">
        <v>49</v>
      </c>
      <c r="C14" s="262"/>
      <c r="D14" s="44"/>
      <c r="E14" s="44"/>
      <c r="F14" s="34"/>
      <c r="G14" s="11"/>
      <c r="H14" s="11"/>
      <c r="I14" s="11"/>
      <c r="J14" s="11"/>
      <c r="K14" s="11"/>
      <c r="L14" s="11"/>
      <c r="M14" s="264"/>
      <c r="N14" s="265"/>
      <c r="O14" s="265"/>
      <c r="P14" s="182">
        <f>P13*20/100</f>
        <v>8811031.1999999993</v>
      </c>
      <c r="Q14" s="182">
        <f>Q13*20/100</f>
        <v>9203150.4000000004</v>
      </c>
      <c r="R14" s="182">
        <f>R13*20/100</f>
        <v>9738187.1999999993</v>
      </c>
      <c r="S14" s="183"/>
    </row>
    <row r="15" spans="1:20" s="33" customFormat="1" ht="21.75" customHeight="1">
      <c r="A15" s="11"/>
      <c r="B15" s="263" t="s">
        <v>313</v>
      </c>
      <c r="C15" s="263"/>
      <c r="D15" s="44"/>
      <c r="E15" s="44"/>
      <c r="F15" s="34"/>
      <c r="G15" s="11"/>
      <c r="H15" s="11"/>
      <c r="I15" s="11"/>
      <c r="J15" s="11"/>
      <c r="K15" s="11"/>
      <c r="L15" s="11"/>
      <c r="M15" s="256"/>
      <c r="N15" s="257"/>
      <c r="O15" s="257"/>
      <c r="P15" s="182">
        <f>SUM(P13:P14)</f>
        <v>52866187.200000003</v>
      </c>
      <c r="Q15" s="182">
        <f>SUM(Q13:Q14)</f>
        <v>55218902.399999999</v>
      </c>
      <c r="R15" s="182">
        <f>SUM(R13:R14)</f>
        <v>58429123.200000003</v>
      </c>
      <c r="S15" s="183"/>
    </row>
    <row r="16" spans="1:20" s="33" customFormat="1" ht="21.75" customHeight="1">
      <c r="A16" s="11"/>
      <c r="B16" s="248" t="s">
        <v>36</v>
      </c>
      <c r="C16" s="248"/>
      <c r="D16" s="44"/>
      <c r="E16" s="44"/>
      <c r="F16" s="34"/>
      <c r="G16" s="11"/>
      <c r="H16" s="11"/>
      <c r="I16" s="11"/>
      <c r="J16" s="11"/>
      <c r="K16" s="11"/>
      <c r="L16" s="11"/>
      <c r="M16" s="34"/>
      <c r="N16" s="34"/>
      <c r="O16" s="34"/>
      <c r="P16" s="182">
        <f>L19*5/100+L19</f>
        <v>151995270</v>
      </c>
      <c r="Q16" s="182">
        <f>P16*5/100+P16</f>
        <v>159595033.5</v>
      </c>
      <c r="R16" s="182">
        <f>Q16*5/100+Q16</f>
        <v>167574785.17500001</v>
      </c>
      <c r="S16" s="183"/>
    </row>
    <row r="17" spans="1:19" s="33" customFormat="1" ht="21.75" customHeight="1">
      <c r="A17" s="11"/>
      <c r="B17" s="262" t="s">
        <v>314</v>
      </c>
      <c r="C17" s="262"/>
      <c r="D17" s="44"/>
      <c r="E17" s="44"/>
      <c r="F17" s="34"/>
      <c r="G17" s="11"/>
      <c r="H17" s="11"/>
      <c r="I17" s="11"/>
      <c r="J17" s="11"/>
      <c r="K17" s="11"/>
      <c r="L17" s="11"/>
      <c r="M17" s="266"/>
      <c r="N17" s="266"/>
      <c r="O17" s="266"/>
      <c r="P17" s="243">
        <f>P15*100/P16</f>
        <v>34.781468660176067</v>
      </c>
      <c r="Q17" s="243">
        <f>Q15*100/Q16</f>
        <v>34.59938645271189</v>
      </c>
      <c r="R17" s="243">
        <f>R15*100/R16</f>
        <v>34.867491036304706</v>
      </c>
      <c r="S17" s="183"/>
    </row>
    <row r="18" spans="1:19" s="33" customFormat="1" ht="21.75" customHeight="1">
      <c r="A18" s="11"/>
      <c r="B18" s="262"/>
      <c r="C18" s="262"/>
      <c r="D18" s="44"/>
      <c r="E18" s="44"/>
      <c r="F18" s="34"/>
      <c r="G18" s="11"/>
      <c r="H18" s="11"/>
      <c r="I18" s="11"/>
      <c r="J18" s="11"/>
      <c r="K18" s="11"/>
      <c r="L18" s="11"/>
      <c r="M18" s="256"/>
      <c r="N18" s="257"/>
      <c r="O18" s="258"/>
      <c r="S18" s="247"/>
    </row>
    <row r="19" spans="1:19" s="33" customFormat="1" ht="21.75" customHeight="1">
      <c r="A19" s="11"/>
      <c r="B19" s="48"/>
      <c r="C19" s="52"/>
      <c r="D19" s="44"/>
      <c r="E19" s="44"/>
      <c r="F19" s="34"/>
      <c r="G19" s="11"/>
      <c r="H19" s="11"/>
      <c r="I19" s="11"/>
      <c r="J19" s="11"/>
      <c r="K19" s="11"/>
      <c r="L19" s="249">
        <v>144757400</v>
      </c>
      <c r="M19" s="259"/>
      <c r="N19" s="260"/>
      <c r="O19" s="261"/>
    </row>
    <row r="20" spans="1:19" s="33" customFormat="1" ht="21.75" customHeight="1">
      <c r="A20" s="11"/>
      <c r="B20" s="48"/>
      <c r="C20" s="52"/>
      <c r="D20" s="44"/>
      <c r="E20" s="44"/>
      <c r="F20" s="34"/>
      <c r="G20" s="11"/>
      <c r="H20" s="11"/>
      <c r="I20" s="11"/>
      <c r="J20" s="11"/>
      <c r="K20" s="11"/>
      <c r="L20" s="11"/>
      <c r="M20" s="35"/>
      <c r="N20" s="35"/>
      <c r="O20" s="35"/>
      <c r="P20" s="97">
        <f>35*P16/100</f>
        <v>53198344.5</v>
      </c>
      <c r="Q20" s="97">
        <f>35*Q16/100</f>
        <v>55858261.725000001</v>
      </c>
      <c r="R20" s="97">
        <f>35*R16/100</f>
        <v>58651174.811250001</v>
      </c>
    </row>
    <row r="21" spans="1:19" s="33" customFormat="1" ht="21.75" customHeight="1">
      <c r="A21" s="11"/>
      <c r="B21" s="48"/>
      <c r="C21" s="52"/>
      <c r="D21" s="44"/>
      <c r="E21" s="44"/>
      <c r="F21" s="34"/>
      <c r="G21" s="11"/>
      <c r="H21" s="11"/>
      <c r="I21" s="11"/>
      <c r="J21" s="11"/>
      <c r="K21" s="11"/>
      <c r="L21" s="11"/>
      <c r="M21" s="34"/>
      <c r="N21" s="34"/>
      <c r="O21" s="34"/>
      <c r="P21" s="34"/>
      <c r="Q21" s="34"/>
      <c r="R21" s="35"/>
    </row>
    <row r="22" spans="1:19" s="33" customFormat="1" ht="21.75" customHeight="1">
      <c r="A22" s="11"/>
      <c r="B22" s="48"/>
      <c r="C22" s="52"/>
      <c r="D22" s="44"/>
      <c r="E22" s="44"/>
      <c r="F22" s="34"/>
      <c r="G22" s="11"/>
      <c r="H22" s="11"/>
      <c r="I22" s="11"/>
      <c r="J22" s="11"/>
      <c r="K22" s="11"/>
      <c r="L22" s="11"/>
      <c r="M22" s="34"/>
      <c r="N22" s="34"/>
      <c r="O22" s="34"/>
      <c r="P22" s="34"/>
      <c r="Q22" s="34"/>
      <c r="R22" s="35"/>
    </row>
    <row r="23" spans="1:19" s="33" customFormat="1" ht="21.75" customHeight="1">
      <c r="A23" s="11"/>
      <c r="B23" s="48"/>
      <c r="C23" s="52"/>
      <c r="D23" s="44"/>
      <c r="E23" s="44"/>
      <c r="F23" s="34"/>
      <c r="G23" s="11"/>
      <c r="H23" s="11"/>
      <c r="I23" s="11"/>
      <c r="J23" s="11"/>
      <c r="K23" s="11"/>
      <c r="L23" s="11"/>
      <c r="M23" s="35"/>
      <c r="N23" s="35"/>
      <c r="O23" s="35"/>
      <c r="P23" s="35"/>
      <c r="Q23" s="35"/>
      <c r="R23" s="35"/>
    </row>
    <row r="24" spans="1:19" s="33" customFormat="1" ht="21.75" customHeight="1">
      <c r="A24" s="11"/>
      <c r="B24" s="48"/>
      <c r="C24" s="52"/>
      <c r="D24" s="44"/>
      <c r="E24" s="44"/>
      <c r="F24" s="34"/>
      <c r="G24" s="11"/>
      <c r="H24" s="11"/>
      <c r="I24" s="11"/>
      <c r="J24" s="11"/>
      <c r="K24" s="11"/>
      <c r="L24" s="11"/>
      <c r="M24" s="34"/>
      <c r="N24" s="34"/>
      <c r="O24" s="34"/>
      <c r="P24" s="34"/>
      <c r="Q24" s="34"/>
      <c r="R24" s="34"/>
    </row>
    <row r="25" spans="1:19" s="33" customFormat="1" ht="21.75" customHeight="1">
      <c r="A25" s="11"/>
      <c r="B25" s="48"/>
      <c r="C25" s="56"/>
      <c r="D25" s="44"/>
      <c r="E25" s="44"/>
      <c r="F25" s="34"/>
      <c r="G25" s="11"/>
      <c r="H25" s="11"/>
      <c r="I25" s="11"/>
      <c r="J25" s="11"/>
      <c r="K25" s="11"/>
      <c r="L25" s="11"/>
      <c r="M25" s="34"/>
      <c r="N25" s="34"/>
      <c r="O25" s="34"/>
      <c r="P25" s="34"/>
      <c r="Q25" s="34"/>
      <c r="R25" s="34"/>
    </row>
    <row r="26" spans="1:19" s="33" customFormat="1" ht="21.75" customHeight="1">
      <c r="A26" s="11"/>
      <c r="B26" s="48"/>
      <c r="C26" s="52"/>
      <c r="D26" s="44"/>
      <c r="E26" s="44"/>
      <c r="F26" s="34"/>
      <c r="G26" s="11"/>
      <c r="H26" s="11"/>
      <c r="I26" s="11"/>
      <c r="J26" s="11"/>
      <c r="K26" s="11"/>
      <c r="L26" s="11"/>
      <c r="M26" s="34"/>
      <c r="N26" s="34"/>
      <c r="O26" s="34"/>
      <c r="P26" s="34"/>
      <c r="Q26" s="34"/>
      <c r="R26" s="34"/>
    </row>
    <row r="27" spans="1:19" s="33" customFormat="1" ht="21.75" customHeight="1">
      <c r="A27" s="11"/>
      <c r="B27" s="48"/>
      <c r="C27" s="52"/>
      <c r="D27" s="44"/>
      <c r="E27" s="44"/>
      <c r="F27" s="34"/>
      <c r="G27" s="11"/>
      <c r="H27" s="11"/>
      <c r="I27" s="11"/>
      <c r="J27" s="11"/>
      <c r="K27" s="11"/>
      <c r="L27" s="11"/>
      <c r="M27" s="34"/>
      <c r="N27" s="34"/>
      <c r="O27" s="34"/>
      <c r="P27" s="34"/>
      <c r="Q27" s="34"/>
      <c r="R27" s="35"/>
    </row>
    <row r="28" spans="1:19" s="33" customFormat="1" ht="21.75" customHeight="1">
      <c r="A28" s="11"/>
      <c r="B28" s="48"/>
      <c r="C28" s="52"/>
      <c r="D28" s="44"/>
      <c r="E28" s="44"/>
      <c r="F28" s="34"/>
      <c r="G28" s="11"/>
      <c r="H28" s="11"/>
      <c r="I28" s="11"/>
      <c r="J28" s="11"/>
      <c r="K28" s="11"/>
      <c r="L28" s="11"/>
      <c r="M28" s="34"/>
      <c r="N28" s="34"/>
      <c r="O28" s="34"/>
      <c r="P28" s="34"/>
      <c r="Q28" s="34"/>
      <c r="R28" s="35"/>
    </row>
    <row r="29" spans="1:19" ht="21.75" customHeight="1">
      <c r="A29" s="11"/>
      <c r="B29" s="48"/>
      <c r="C29" s="52"/>
      <c r="D29" s="44"/>
      <c r="E29" s="44"/>
      <c r="F29" s="34"/>
      <c r="G29" s="11"/>
      <c r="H29" s="11"/>
      <c r="I29" s="11"/>
      <c r="J29" s="11"/>
      <c r="K29" s="11"/>
      <c r="L29" s="11"/>
      <c r="M29" s="35"/>
      <c r="N29" s="35"/>
      <c r="O29" s="35"/>
      <c r="P29" s="35"/>
      <c r="Q29" s="35"/>
      <c r="R29" s="35"/>
    </row>
    <row r="30" spans="1:19" ht="21.75" customHeight="1">
      <c r="A30" s="11"/>
      <c r="B30" s="48"/>
      <c r="C30" s="57"/>
      <c r="D30" s="44"/>
      <c r="E30" s="44"/>
      <c r="F30" s="34"/>
      <c r="G30" s="11"/>
      <c r="H30" s="11"/>
      <c r="I30" s="11"/>
      <c r="J30" s="11"/>
      <c r="K30" s="11"/>
      <c r="L30" s="11"/>
      <c r="M30" s="35"/>
      <c r="N30" s="35"/>
      <c r="O30" s="35"/>
      <c r="P30" s="35"/>
      <c r="Q30" s="35"/>
      <c r="R30" s="35"/>
    </row>
    <row r="31" spans="1:19" ht="21.75" customHeight="1">
      <c r="A31" s="11"/>
      <c r="B31" s="44"/>
      <c r="C31" s="52"/>
      <c r="D31" s="44"/>
      <c r="E31" s="44"/>
      <c r="F31" s="35"/>
      <c r="G31" s="11"/>
      <c r="H31" s="11"/>
      <c r="I31" s="11"/>
      <c r="J31" s="11"/>
      <c r="K31" s="11"/>
      <c r="L31" s="11"/>
      <c r="M31" s="35"/>
      <c r="N31" s="35"/>
      <c r="O31" s="35"/>
      <c r="P31" s="35"/>
      <c r="Q31" s="35"/>
      <c r="R31" s="35"/>
    </row>
  </sheetData>
  <mergeCells count="18">
    <mergeCell ref="A1:R1"/>
    <mergeCell ref="A2:R2"/>
    <mergeCell ref="A3:R3"/>
    <mergeCell ref="E4:F5"/>
    <mergeCell ref="G4:I4"/>
    <mergeCell ref="J4:L4"/>
    <mergeCell ref="P4:R4"/>
    <mergeCell ref="G5:I5"/>
    <mergeCell ref="J5:L5"/>
    <mergeCell ref="M18:O18"/>
    <mergeCell ref="M19:O19"/>
    <mergeCell ref="B14:C14"/>
    <mergeCell ref="B15:C15"/>
    <mergeCell ref="B17:C17"/>
    <mergeCell ref="B18:C18"/>
    <mergeCell ref="M14:O14"/>
    <mergeCell ref="M15:O15"/>
    <mergeCell ref="M17:O17"/>
  </mergeCells>
  <pageMargins left="0.31" right="0.17" top="0.59" bottom="0.18" header="0.3" footer="0.17"/>
  <pageSetup paperSize="9" orientation="landscape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T35"/>
  <sheetViews>
    <sheetView view="pageBreakPreview" topLeftCell="A13" workbookViewId="0">
      <selection activeCell="I28" sqref="I28"/>
    </sheetView>
  </sheetViews>
  <sheetFormatPr defaultRowHeight="21.75" customHeight="1"/>
  <cols>
    <col min="1" max="1" width="3.7109375" style="38" customWidth="1"/>
    <col min="2" max="2" width="21.7109375" style="49" customWidth="1"/>
    <col min="3" max="3" width="6" style="58" customWidth="1"/>
    <col min="4" max="4" width="5.7109375" style="49" customWidth="1"/>
    <col min="5" max="5" width="7.85546875" style="49" customWidth="1"/>
    <col min="6" max="6" width="9" style="5" customWidth="1"/>
    <col min="7" max="12" width="6.28515625" style="5" customWidth="1"/>
    <col min="13" max="15" width="8.28515625" style="5" customWidth="1"/>
    <col min="16" max="18" width="8.7109375" style="5" customWidth="1"/>
    <col min="19" max="19" width="8" style="5" customWidth="1"/>
    <col min="20" max="20" width="4" style="5" customWidth="1"/>
    <col min="21" max="16384" width="9.140625" style="5"/>
  </cols>
  <sheetData>
    <row r="1" spans="1:20" s="1" customFormat="1" ht="21.75" customHeight="1">
      <c r="A1" s="267" t="s">
        <v>298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20" s="1" customFormat="1" ht="21.75" customHeight="1">
      <c r="A2" s="267" t="s">
        <v>33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20" s="1" customFormat="1" ht="21.75" customHeight="1">
      <c r="A3" s="268" t="s">
        <v>19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ht="21.75" customHeight="1">
      <c r="A4" s="2" t="s">
        <v>0</v>
      </c>
      <c r="B4" s="39" t="s">
        <v>1</v>
      </c>
      <c r="C4" s="65" t="s">
        <v>2</v>
      </c>
      <c r="D4" s="106" t="s">
        <v>4</v>
      </c>
      <c r="E4" s="269" t="s">
        <v>38</v>
      </c>
      <c r="F4" s="270"/>
      <c r="G4" s="273" t="s">
        <v>39</v>
      </c>
      <c r="H4" s="274"/>
      <c r="I4" s="275"/>
      <c r="J4" s="273" t="s">
        <v>44</v>
      </c>
      <c r="K4" s="274"/>
      <c r="L4" s="275"/>
      <c r="M4" s="3"/>
      <c r="N4" s="9" t="s">
        <v>7</v>
      </c>
      <c r="O4" s="4"/>
      <c r="P4" s="273" t="s">
        <v>6</v>
      </c>
      <c r="Q4" s="274"/>
      <c r="R4" s="275"/>
      <c r="S4" s="2" t="s">
        <v>42</v>
      </c>
    </row>
    <row r="5" spans="1:20" ht="21.75" customHeight="1">
      <c r="A5" s="17"/>
      <c r="B5" s="46"/>
      <c r="C5" s="66" t="s">
        <v>3</v>
      </c>
      <c r="D5" s="110" t="s">
        <v>5</v>
      </c>
      <c r="E5" s="271"/>
      <c r="F5" s="272"/>
      <c r="G5" s="276" t="s">
        <v>40</v>
      </c>
      <c r="H5" s="277"/>
      <c r="I5" s="278"/>
      <c r="J5" s="276" t="s">
        <v>45</v>
      </c>
      <c r="K5" s="277"/>
      <c r="L5" s="278"/>
      <c r="M5" s="59"/>
      <c r="N5" s="19"/>
      <c r="O5" s="60"/>
      <c r="P5" s="59"/>
      <c r="Q5" s="19"/>
      <c r="R5" s="60"/>
      <c r="S5" s="61"/>
    </row>
    <row r="6" spans="1:20" ht="21.75" customHeight="1">
      <c r="A6" s="6"/>
      <c r="B6" s="40"/>
      <c r="C6" s="50"/>
      <c r="D6" s="40"/>
      <c r="E6" s="114" t="s">
        <v>43</v>
      </c>
      <c r="F6" s="67" t="s">
        <v>41</v>
      </c>
      <c r="G6" s="7">
        <v>2558</v>
      </c>
      <c r="H6" s="7">
        <v>2559</v>
      </c>
      <c r="I6" s="7">
        <v>2560</v>
      </c>
      <c r="J6" s="7">
        <v>2558</v>
      </c>
      <c r="K6" s="7">
        <v>2559</v>
      </c>
      <c r="L6" s="7">
        <v>2560</v>
      </c>
      <c r="M6" s="7">
        <v>2558</v>
      </c>
      <c r="N6" s="7">
        <v>2559</v>
      </c>
      <c r="O6" s="7">
        <v>2560</v>
      </c>
      <c r="P6" s="7">
        <v>2558</v>
      </c>
      <c r="Q6" s="7">
        <v>2559</v>
      </c>
      <c r="R6" s="7">
        <v>2560</v>
      </c>
      <c r="S6" s="62"/>
    </row>
    <row r="7" spans="1:20" ht="21.75" customHeight="1">
      <c r="A7" s="8"/>
      <c r="B7" s="143" t="s">
        <v>61</v>
      </c>
      <c r="C7" s="51"/>
      <c r="D7" s="39"/>
      <c r="E7" s="141"/>
      <c r="F7" s="142"/>
      <c r="G7" s="9"/>
      <c r="H7" s="2"/>
      <c r="I7" s="2"/>
      <c r="J7" s="2"/>
      <c r="K7" s="2"/>
      <c r="L7" s="2"/>
      <c r="M7" s="2"/>
      <c r="N7" s="9"/>
      <c r="O7" s="8"/>
      <c r="P7" s="8"/>
      <c r="Q7" s="2"/>
      <c r="R7" s="140"/>
      <c r="S7" s="64"/>
    </row>
    <row r="8" spans="1:20" ht="21.75" customHeight="1">
      <c r="A8" s="10">
        <v>112</v>
      </c>
      <c r="B8" s="41" t="s">
        <v>115</v>
      </c>
      <c r="C8" s="146" t="s">
        <v>35</v>
      </c>
      <c r="D8" s="94">
        <v>1</v>
      </c>
      <c r="E8" s="71" t="s">
        <v>8</v>
      </c>
      <c r="F8" s="14" t="s">
        <v>25</v>
      </c>
      <c r="G8" s="13">
        <v>1</v>
      </c>
      <c r="H8" s="12">
        <v>1</v>
      </c>
      <c r="I8" s="12">
        <v>1</v>
      </c>
      <c r="J8" s="185">
        <v>1</v>
      </c>
      <c r="K8" s="12" t="s">
        <v>8</v>
      </c>
      <c r="L8" s="12" t="s">
        <v>8</v>
      </c>
      <c r="M8" s="14">
        <v>242700</v>
      </c>
      <c r="N8" s="15">
        <v>8580</v>
      </c>
      <c r="O8" s="26">
        <v>8580</v>
      </c>
      <c r="P8" s="26">
        <f>M8</f>
        <v>242700</v>
      </c>
      <c r="Q8" s="14">
        <f>P8+N8</f>
        <v>251280</v>
      </c>
      <c r="R8" s="27">
        <f>Q8+O8</f>
        <v>259860</v>
      </c>
      <c r="S8" s="61"/>
    </row>
    <row r="9" spans="1:20" ht="21.75" customHeight="1">
      <c r="A9" s="10"/>
      <c r="B9" s="41"/>
      <c r="C9" s="52"/>
      <c r="D9" s="94"/>
      <c r="E9" s="71"/>
      <c r="F9" s="14"/>
      <c r="G9" s="13"/>
      <c r="H9" s="12"/>
      <c r="I9" s="12"/>
      <c r="J9" s="12"/>
      <c r="K9" s="12"/>
      <c r="L9" s="12"/>
      <c r="M9" s="14"/>
      <c r="N9" s="15"/>
      <c r="O9" s="26"/>
      <c r="P9" s="26"/>
      <c r="Q9" s="14"/>
      <c r="R9" s="27"/>
      <c r="S9" s="61"/>
    </row>
    <row r="10" spans="1:20" ht="21.75" customHeight="1">
      <c r="A10" s="10"/>
      <c r="B10" s="41"/>
      <c r="C10" s="52"/>
      <c r="D10" s="94"/>
      <c r="E10" s="71"/>
      <c r="F10" s="14"/>
      <c r="G10" s="13"/>
      <c r="H10" s="12"/>
      <c r="I10" s="12"/>
      <c r="J10" s="12"/>
      <c r="K10" s="12"/>
      <c r="L10" s="12"/>
      <c r="M10" s="14"/>
      <c r="N10" s="15"/>
      <c r="O10" s="26"/>
      <c r="P10" s="26"/>
      <c r="Q10" s="14"/>
      <c r="R10" s="27"/>
      <c r="S10" s="61"/>
    </row>
    <row r="11" spans="1:20" ht="21.75" customHeight="1">
      <c r="A11" s="10"/>
      <c r="B11" s="41"/>
      <c r="C11" s="52"/>
      <c r="D11" s="94"/>
      <c r="E11" s="71"/>
      <c r="F11" s="14"/>
      <c r="G11" s="13"/>
      <c r="H11" s="12"/>
      <c r="I11" s="12"/>
      <c r="J11" s="12"/>
      <c r="K11" s="12"/>
      <c r="L11" s="12"/>
      <c r="M11" s="14"/>
      <c r="N11" s="15"/>
      <c r="O11" s="26"/>
      <c r="P11" s="26"/>
      <c r="Q11" s="14"/>
      <c r="R11" s="27"/>
      <c r="S11" s="61"/>
    </row>
    <row r="12" spans="1:20" ht="21.75" customHeight="1">
      <c r="A12" s="10"/>
      <c r="B12" s="41"/>
      <c r="C12" s="52"/>
      <c r="D12" s="94"/>
      <c r="E12" s="71"/>
      <c r="F12" s="14"/>
      <c r="G12" s="13"/>
      <c r="H12" s="12"/>
      <c r="I12" s="12"/>
      <c r="J12" s="12"/>
      <c r="K12" s="12"/>
      <c r="L12" s="12"/>
      <c r="M12" s="14"/>
      <c r="N12" s="15"/>
      <c r="O12" s="26"/>
      <c r="P12" s="26"/>
      <c r="Q12" s="14"/>
      <c r="R12" s="27"/>
      <c r="S12" s="61"/>
    </row>
    <row r="13" spans="1:20" ht="21.75" customHeight="1">
      <c r="A13" s="10"/>
      <c r="B13" s="41"/>
      <c r="C13" s="52"/>
      <c r="D13" s="94"/>
      <c r="E13" s="71"/>
      <c r="F13" s="14"/>
      <c r="G13" s="13"/>
      <c r="H13" s="12"/>
      <c r="I13" s="12"/>
      <c r="J13" s="12"/>
      <c r="K13" s="12"/>
      <c r="L13" s="12"/>
      <c r="M13" s="14"/>
      <c r="N13" s="15"/>
      <c r="O13" s="26"/>
      <c r="P13" s="26"/>
      <c r="Q13" s="14"/>
      <c r="R13" s="27"/>
      <c r="S13" s="61"/>
    </row>
    <row r="14" spans="1:20" ht="21.75" customHeight="1">
      <c r="A14" s="10"/>
      <c r="B14" s="41"/>
      <c r="C14" s="52"/>
      <c r="D14" s="94"/>
      <c r="E14" s="71"/>
      <c r="F14" s="14"/>
      <c r="G14" s="13"/>
      <c r="H14" s="12"/>
      <c r="I14" s="12"/>
      <c r="J14" s="12"/>
      <c r="K14" s="12"/>
      <c r="L14" s="12"/>
      <c r="M14" s="14"/>
      <c r="N14" s="15"/>
      <c r="O14" s="26"/>
      <c r="P14" s="26"/>
      <c r="Q14" s="14"/>
      <c r="R14" s="27"/>
      <c r="S14" s="61"/>
      <c r="T14" s="85" t="s">
        <v>308</v>
      </c>
    </row>
    <row r="15" spans="1:20" ht="21.75" customHeight="1">
      <c r="A15" s="10"/>
      <c r="B15" s="41"/>
      <c r="C15" s="52"/>
      <c r="D15" s="94"/>
      <c r="E15" s="71"/>
      <c r="F15" s="14"/>
      <c r="G15" s="13"/>
      <c r="H15" s="12"/>
      <c r="I15" s="12"/>
      <c r="J15" s="12"/>
      <c r="K15" s="12"/>
      <c r="L15" s="12"/>
      <c r="M15" s="14"/>
      <c r="N15" s="15"/>
      <c r="O15" s="26"/>
      <c r="P15" s="26"/>
      <c r="Q15" s="14"/>
      <c r="R15" s="27"/>
      <c r="S15" s="61"/>
    </row>
    <row r="16" spans="1:20" ht="21.75" customHeight="1">
      <c r="A16" s="18"/>
      <c r="B16" s="45"/>
      <c r="C16" s="52"/>
      <c r="D16" s="43"/>
      <c r="E16" s="100"/>
      <c r="F16" s="14"/>
      <c r="G16" s="21"/>
      <c r="H16" s="20"/>
      <c r="I16" s="20"/>
      <c r="J16" s="20"/>
      <c r="K16" s="20"/>
      <c r="L16" s="20"/>
      <c r="M16" s="22"/>
      <c r="N16" s="23"/>
      <c r="O16" s="28"/>
      <c r="P16" s="28"/>
      <c r="Q16" s="22"/>
      <c r="R16" s="29"/>
      <c r="S16" s="62"/>
    </row>
    <row r="17" spans="1:19" s="25" customFormat="1" ht="21.75" customHeight="1">
      <c r="A17" s="37"/>
      <c r="B17" s="47" t="s">
        <v>9</v>
      </c>
      <c r="C17" s="54" t="s">
        <v>8</v>
      </c>
      <c r="D17" s="47">
        <f>SUM(D8:D16)</f>
        <v>1</v>
      </c>
      <c r="E17" s="47" t="s">
        <v>8</v>
      </c>
      <c r="F17" s="30" t="s">
        <v>8</v>
      </c>
      <c r="G17" s="30">
        <f>SUM(G8:G16)</f>
        <v>1</v>
      </c>
      <c r="H17" s="30">
        <v>1</v>
      </c>
      <c r="I17" s="30">
        <v>1</v>
      </c>
      <c r="J17" s="185">
        <v>1</v>
      </c>
      <c r="K17" s="30" t="s">
        <v>8</v>
      </c>
      <c r="L17" s="30" t="s">
        <v>8</v>
      </c>
      <c r="M17" s="30">
        <f t="shared" ref="M17:R17" si="0">SUM(M8:M16)</f>
        <v>242700</v>
      </c>
      <c r="N17" s="30">
        <f t="shared" si="0"/>
        <v>8580</v>
      </c>
      <c r="O17" s="30">
        <f t="shared" si="0"/>
        <v>8580</v>
      </c>
      <c r="P17" s="30">
        <f t="shared" si="0"/>
        <v>242700</v>
      </c>
      <c r="Q17" s="30">
        <f t="shared" si="0"/>
        <v>251280</v>
      </c>
      <c r="R17" s="30">
        <f t="shared" si="0"/>
        <v>259860</v>
      </c>
      <c r="S17" s="63"/>
    </row>
    <row r="18" spans="1:19" s="69" customFormat="1" ht="21.75" customHeight="1">
      <c r="A18" s="80"/>
      <c r="B18" s="80" t="s">
        <v>48</v>
      </c>
      <c r="C18" s="81"/>
      <c r="D18" s="80">
        <f>สำนักปลัด!D35+คลัง!D28+ช่าง!D33+สาธารณสุข!D33+วิชาการ!D22+ศึกษา!D22+สวัสดิการ!D25+D17</f>
        <v>270</v>
      </c>
      <c r="E18" s="80">
        <f>สำนักปลัด!E35+คลัง!E28+ช่าง!E33+สาธารณสุข!E33+วิชาการ!E22+ศึกษา!E22+สวัสดิการ!E25</f>
        <v>234</v>
      </c>
      <c r="F18" s="80">
        <f>สำนักปลัด!F35+คลัง!F28+ช่าง!F33+สาธารณสุข!F33+วิชาการ!F22+ศึกษา!F22+สวัสดิการ!F25</f>
        <v>41859960</v>
      </c>
      <c r="G18" s="80">
        <f>สำนักปลัด!G35+คลัง!G28+ช่าง!G33+สาธารณสุข!G33+วิชาการ!G22+ศึกษา!G22+สวัสดิการ!G25+G17</f>
        <v>262</v>
      </c>
      <c r="H18" s="80">
        <f>สำนักปลัด!H35+คลัง!H28+ช่าง!H33+สาธารณสุข!H33+วิชาการ!H22+ศึกษา!H22+สวัสดิการ!H25+H17</f>
        <v>268</v>
      </c>
      <c r="I18" s="80">
        <f>สำนักปลัด!I35+คลัง!I28+ช่าง!I33+สาธารณสุข!I33+วิชาการ!I22+ศึกษา!I22+สวัสดิการ!I25+I17</f>
        <v>271</v>
      </c>
      <c r="J18" s="230">
        <f>สำนักปลัด!J35+คลัง!J28+ช่าง!J33+สาธารณสุข!J33+วิชาการ!J22+ศึกษา!J22+สวัสดิการ!J25+J17</f>
        <v>28</v>
      </c>
      <c r="K18" s="230">
        <f>สำนักปลัด!K35+คลัง!K28+ช่าง!K33+สาธารณสุข!K33+ศึกษา!K22+สวัสดิการ!K25</f>
        <v>6</v>
      </c>
      <c r="L18" s="230">
        <f>สาธารณสุข!L33+ศึกษา!L22+คลัง!L28</f>
        <v>3</v>
      </c>
      <c r="M18" s="80">
        <f>สำนักปลัด!M35+คลัง!M28+ช่าง!M33+สาธารณสุข!M33+วิชาการ!M22+ศึกษา!M22+สวัสดิการ!M25+M17</f>
        <v>7433556</v>
      </c>
      <c r="N18" s="80">
        <f>สำนักปลัด!N35+คลัง!N28+ช่าง!N33+สาธารณสุข!N33+วิชาการ!N22+ศึกษา!N22+สวัสดิการ!N25+N17</f>
        <v>1960596</v>
      </c>
      <c r="O18" s="80">
        <f>สำนักปลัด!O35+คลัง!O28+ช่าง!O33+สาธารณสุข!O33+วิชาการ!O22+ศึกษา!O22+สวัสดิการ!O25+O17</f>
        <v>1677264</v>
      </c>
      <c r="P18" s="80">
        <f>สำนักปลัด!P35+คลัง!P28+ช่าง!P33+สาธารณสุข!P33+วิชาการ!P22+ศึกษา!P22+สวัสดิการ!P25+P17</f>
        <v>44055156</v>
      </c>
      <c r="Q18" s="80">
        <f>สำนักปลัด!Q35+คลัง!Q28+ช่าง!Q33+สาธารณสุข!Q33+วิชาการ!Q22+ศึกษา!Q22+สวัสดิการ!Q25+Q17</f>
        <v>46015752</v>
      </c>
      <c r="R18" s="80">
        <f>สำนักปลัด!R35+คลัง!R28+ช่าง!R33+สาธารณสุข!R33+วิชาการ!R22+ศึกษา!R22+สวัสดิการ!R25+R17</f>
        <v>48690936</v>
      </c>
      <c r="S18" s="82"/>
    </row>
    <row r="19" spans="1:19" s="33" customFormat="1" ht="21.75" customHeight="1">
      <c r="A19" s="11"/>
      <c r="B19" s="48"/>
      <c r="C19" s="52"/>
      <c r="D19" s="44"/>
      <c r="E19" s="44"/>
      <c r="F19" s="34"/>
      <c r="G19" s="11"/>
      <c r="H19" s="11"/>
      <c r="I19" s="11"/>
      <c r="J19" s="11"/>
      <c r="K19" s="11"/>
      <c r="L19" s="11"/>
      <c r="M19" s="279" t="s">
        <v>215</v>
      </c>
      <c r="N19" s="279"/>
      <c r="O19" s="279"/>
      <c r="P19" s="182">
        <f>P18*20/100</f>
        <v>8811031.1999999993</v>
      </c>
      <c r="Q19" s="182">
        <f>Q18*20/100</f>
        <v>9203150.4000000004</v>
      </c>
      <c r="R19" s="182">
        <f>R18*20/100</f>
        <v>9738187.1999999993</v>
      </c>
      <c r="S19" s="183"/>
    </row>
    <row r="20" spans="1:19" s="33" customFormat="1" ht="21.75" customHeight="1">
      <c r="A20" s="11"/>
      <c r="B20" s="48"/>
      <c r="C20" s="52"/>
      <c r="D20" s="44"/>
      <c r="E20" s="44"/>
      <c r="F20" s="34"/>
      <c r="G20" s="11"/>
      <c r="H20" s="11"/>
      <c r="I20" s="11"/>
      <c r="J20" s="11"/>
      <c r="K20" s="11"/>
      <c r="L20" s="11"/>
      <c r="M20" s="279" t="s">
        <v>9</v>
      </c>
      <c r="N20" s="279"/>
      <c r="O20" s="279"/>
      <c r="P20" s="182">
        <f>SUM(P18:P19)</f>
        <v>52866187.200000003</v>
      </c>
      <c r="Q20" s="182">
        <f>SUM(Q18:Q19)</f>
        <v>55218902.399999999</v>
      </c>
      <c r="R20" s="182">
        <f>SUM(R18:R19)</f>
        <v>58429123.200000003</v>
      </c>
      <c r="S20" s="183"/>
    </row>
    <row r="21" spans="1:19" s="33" customFormat="1" ht="21.75" customHeight="1">
      <c r="A21" s="11"/>
      <c r="B21" s="48"/>
      <c r="C21" s="52"/>
      <c r="D21" s="44"/>
      <c r="E21" s="44"/>
      <c r="F21" s="34"/>
      <c r="G21" s="11"/>
      <c r="H21" s="11"/>
      <c r="I21" s="11"/>
      <c r="J21" s="11"/>
      <c r="K21" s="11"/>
      <c r="L21" s="11"/>
      <c r="M21" s="279" t="s">
        <v>248</v>
      </c>
      <c r="N21" s="279"/>
      <c r="O21" s="279"/>
      <c r="P21" s="229">
        <v>144757400</v>
      </c>
      <c r="Q21" s="182"/>
      <c r="R21" s="182"/>
      <c r="S21" s="183"/>
    </row>
    <row r="22" spans="1:19" s="33" customFormat="1" ht="21.75" customHeight="1">
      <c r="A22" s="11"/>
      <c r="B22" s="48"/>
      <c r="C22" s="52"/>
      <c r="D22" s="44"/>
      <c r="E22" s="44"/>
      <c r="F22" s="34"/>
      <c r="G22" s="11"/>
      <c r="H22" s="11"/>
      <c r="I22" s="11"/>
      <c r="J22" s="11"/>
      <c r="K22" s="11"/>
      <c r="L22" s="11"/>
      <c r="M22" s="279" t="s">
        <v>249</v>
      </c>
      <c r="N22" s="279"/>
      <c r="O22" s="279"/>
      <c r="P22" s="182">
        <f>P21*5/100+P21</f>
        <v>151995270</v>
      </c>
      <c r="Q22" s="182">
        <f>P22*5/100+P22</f>
        <v>159595033.5</v>
      </c>
      <c r="R22" s="182">
        <f>Q22*5/100+Q22</f>
        <v>167574785.17500001</v>
      </c>
      <c r="S22" s="183"/>
    </row>
    <row r="23" spans="1:19" s="33" customFormat="1" ht="21.75" customHeight="1">
      <c r="A23" s="11"/>
      <c r="B23" s="48"/>
      <c r="C23" s="52"/>
      <c r="D23" s="44"/>
      <c r="E23" s="44"/>
      <c r="F23" s="34"/>
      <c r="G23" s="11"/>
      <c r="H23" s="11"/>
      <c r="I23" s="11"/>
      <c r="J23" s="11"/>
      <c r="K23" s="11"/>
      <c r="L23" s="11"/>
      <c r="M23" s="280" t="s">
        <v>216</v>
      </c>
      <c r="N23" s="280"/>
      <c r="O23" s="280"/>
      <c r="P23" s="243">
        <f>P20*100/P22</f>
        <v>34.781468660176067</v>
      </c>
      <c r="Q23" s="243">
        <f>Q20*100/Q22</f>
        <v>34.59938645271189</v>
      </c>
      <c r="R23" s="243">
        <f>R20*100/R22</f>
        <v>34.867491036304706</v>
      </c>
      <c r="S23" s="183"/>
    </row>
    <row r="24" spans="1:19" s="33" customFormat="1" ht="21.75" customHeight="1">
      <c r="A24" s="11"/>
      <c r="B24" s="48"/>
      <c r="C24" s="52"/>
      <c r="D24" s="44"/>
      <c r="E24" s="44"/>
      <c r="F24" s="34"/>
      <c r="G24" s="11"/>
      <c r="H24" s="11"/>
      <c r="I24" s="11"/>
      <c r="J24" s="11"/>
      <c r="K24" s="11"/>
      <c r="L24" s="11"/>
      <c r="M24" s="35"/>
      <c r="N24" s="35"/>
      <c r="O24" s="35"/>
      <c r="P24" s="97">
        <f>35*P22/100</f>
        <v>53198344.5</v>
      </c>
      <c r="Q24" s="97">
        <f>35*Q22/100</f>
        <v>55858261.725000001</v>
      </c>
      <c r="R24" s="97">
        <f>35*R22/100</f>
        <v>58651174.811250001</v>
      </c>
    </row>
    <row r="25" spans="1:19" s="33" customFormat="1" ht="21.75" customHeight="1">
      <c r="A25" s="11"/>
      <c r="B25" s="48"/>
      <c r="C25" s="52"/>
      <c r="D25" s="44"/>
      <c r="E25" s="44"/>
      <c r="F25" s="34"/>
      <c r="G25" s="11"/>
      <c r="H25" s="11"/>
      <c r="I25" s="11"/>
      <c r="J25" s="11"/>
      <c r="K25" s="11"/>
      <c r="L25" s="11"/>
      <c r="M25" s="34"/>
      <c r="N25" s="34"/>
      <c r="O25" s="34"/>
      <c r="P25" s="34"/>
      <c r="Q25" s="34"/>
      <c r="R25" s="35"/>
    </row>
    <row r="26" spans="1:19" s="33" customFormat="1" ht="21.75" customHeight="1">
      <c r="A26" s="11"/>
      <c r="B26" s="48"/>
      <c r="C26" s="52"/>
      <c r="D26" s="44"/>
      <c r="E26" s="44"/>
      <c r="F26" s="34"/>
      <c r="G26" s="11"/>
      <c r="H26" s="11"/>
      <c r="I26" s="11"/>
      <c r="J26" s="11"/>
      <c r="K26" s="11"/>
      <c r="L26" s="11"/>
      <c r="M26" s="34"/>
      <c r="N26" s="34"/>
      <c r="O26" s="34"/>
      <c r="P26" s="34"/>
      <c r="Q26" s="34"/>
      <c r="R26" s="35"/>
    </row>
    <row r="27" spans="1:19" s="33" customFormat="1" ht="21.75" customHeight="1">
      <c r="A27" s="11"/>
      <c r="B27" s="48"/>
      <c r="C27" s="52"/>
      <c r="D27" s="44"/>
      <c r="E27" s="44"/>
      <c r="F27" s="34"/>
      <c r="G27" s="11"/>
      <c r="H27" s="11"/>
      <c r="I27" s="11"/>
      <c r="J27" s="11"/>
      <c r="K27" s="11"/>
      <c r="L27" s="11"/>
      <c r="M27" s="35"/>
      <c r="N27" s="35"/>
      <c r="O27" s="35"/>
      <c r="P27" s="35"/>
      <c r="Q27" s="35"/>
      <c r="R27" s="35"/>
    </row>
    <row r="28" spans="1:19" s="33" customFormat="1" ht="21.75" customHeight="1">
      <c r="A28" s="11"/>
      <c r="B28" s="48"/>
      <c r="C28" s="52"/>
      <c r="D28" s="44"/>
      <c r="E28" s="44"/>
      <c r="F28" s="34"/>
      <c r="G28" s="11"/>
      <c r="H28" s="11"/>
      <c r="I28" s="11"/>
      <c r="J28" s="11"/>
      <c r="K28" s="11"/>
      <c r="L28" s="11"/>
      <c r="M28" s="34"/>
      <c r="N28" s="34"/>
      <c r="O28" s="34"/>
      <c r="P28" s="34"/>
      <c r="Q28" s="34"/>
      <c r="R28" s="34"/>
    </row>
    <row r="29" spans="1:19" s="33" customFormat="1" ht="21.75" customHeight="1">
      <c r="A29" s="11"/>
      <c r="B29" s="48"/>
      <c r="C29" s="56"/>
      <c r="D29" s="44"/>
      <c r="E29" s="44"/>
      <c r="F29" s="34"/>
      <c r="G29" s="11"/>
      <c r="H29" s="11"/>
      <c r="I29" s="11"/>
      <c r="J29" s="11"/>
      <c r="K29" s="11"/>
      <c r="L29" s="11"/>
      <c r="M29" s="34"/>
      <c r="N29" s="34"/>
      <c r="O29" s="34"/>
      <c r="P29" s="34"/>
      <c r="Q29" s="34"/>
      <c r="R29" s="34"/>
    </row>
    <row r="30" spans="1:19" s="33" customFormat="1" ht="21.75" customHeight="1">
      <c r="A30" s="11"/>
      <c r="B30" s="48"/>
      <c r="C30" s="52"/>
      <c r="D30" s="44"/>
      <c r="E30" s="44"/>
      <c r="F30" s="34"/>
      <c r="G30" s="11"/>
      <c r="H30" s="11"/>
      <c r="I30" s="11"/>
      <c r="J30" s="11"/>
      <c r="K30" s="11"/>
      <c r="L30" s="11"/>
      <c r="M30" s="34"/>
      <c r="N30" s="34"/>
      <c r="O30" s="34"/>
      <c r="P30" s="34"/>
      <c r="Q30" s="34"/>
      <c r="R30" s="34"/>
    </row>
    <row r="31" spans="1:19" s="33" customFormat="1" ht="21.75" customHeight="1">
      <c r="A31" s="11"/>
      <c r="B31" s="48"/>
      <c r="C31" s="52"/>
      <c r="D31" s="44"/>
      <c r="E31" s="44"/>
      <c r="F31" s="34"/>
      <c r="G31" s="11"/>
      <c r="H31" s="11"/>
      <c r="I31" s="11"/>
      <c r="J31" s="11"/>
      <c r="K31" s="11"/>
      <c r="L31" s="11"/>
      <c r="M31" s="34"/>
      <c r="N31" s="34"/>
      <c r="O31" s="34"/>
      <c r="P31" s="34"/>
      <c r="Q31" s="34"/>
      <c r="R31" s="35"/>
    </row>
    <row r="32" spans="1:19" s="33" customFormat="1" ht="21.75" customHeight="1">
      <c r="A32" s="11"/>
      <c r="B32" s="48"/>
      <c r="C32" s="52"/>
      <c r="D32" s="44"/>
      <c r="E32" s="44"/>
      <c r="F32" s="34"/>
      <c r="G32" s="11"/>
      <c r="H32" s="11"/>
      <c r="I32" s="11"/>
      <c r="J32" s="11"/>
      <c r="K32" s="11"/>
      <c r="L32" s="11"/>
      <c r="M32" s="34"/>
      <c r="N32" s="34"/>
      <c r="O32" s="34"/>
      <c r="P32" s="34"/>
      <c r="Q32" s="34"/>
      <c r="R32" s="35"/>
    </row>
    <row r="33" spans="1:18" ht="21.75" customHeight="1">
      <c r="A33" s="11"/>
      <c r="B33" s="48"/>
      <c r="C33" s="52"/>
      <c r="D33" s="44"/>
      <c r="E33" s="44"/>
      <c r="F33" s="34"/>
      <c r="G33" s="11"/>
      <c r="H33" s="11"/>
      <c r="I33" s="11"/>
      <c r="J33" s="11"/>
      <c r="K33" s="11"/>
      <c r="L33" s="11"/>
      <c r="M33" s="35"/>
      <c r="N33" s="35"/>
      <c r="O33" s="35"/>
      <c r="P33" s="35"/>
      <c r="Q33" s="35"/>
      <c r="R33" s="35"/>
    </row>
    <row r="34" spans="1:18" ht="21.75" customHeight="1">
      <c r="A34" s="11"/>
      <c r="B34" s="48"/>
      <c r="C34" s="57"/>
      <c r="D34" s="44"/>
      <c r="E34" s="44"/>
      <c r="F34" s="34"/>
      <c r="G34" s="11"/>
      <c r="H34" s="11"/>
      <c r="I34" s="11"/>
      <c r="J34" s="11"/>
      <c r="K34" s="11"/>
      <c r="L34" s="11"/>
      <c r="M34" s="35"/>
      <c r="N34" s="35"/>
      <c r="O34" s="35"/>
      <c r="P34" s="35"/>
      <c r="Q34" s="35"/>
      <c r="R34" s="35"/>
    </row>
    <row r="35" spans="1:18" ht="21.75" customHeight="1">
      <c r="A35" s="11"/>
      <c r="B35" s="44"/>
      <c r="C35" s="52"/>
      <c r="D35" s="44"/>
      <c r="E35" s="44"/>
      <c r="F35" s="35"/>
      <c r="G35" s="11"/>
      <c r="H35" s="11"/>
      <c r="I35" s="11"/>
      <c r="J35" s="11"/>
      <c r="K35" s="11"/>
      <c r="L35" s="11"/>
      <c r="M35" s="35"/>
      <c r="N35" s="35"/>
      <c r="O35" s="35"/>
      <c r="P35" s="35"/>
      <c r="Q35" s="35"/>
      <c r="R35" s="35"/>
    </row>
  </sheetData>
  <mergeCells count="14">
    <mergeCell ref="M19:O19"/>
    <mergeCell ref="M20:O20"/>
    <mergeCell ref="M22:O22"/>
    <mergeCell ref="M23:O23"/>
    <mergeCell ref="A1:R1"/>
    <mergeCell ref="A2:R2"/>
    <mergeCell ref="A3:R3"/>
    <mergeCell ref="E4:F5"/>
    <mergeCell ref="G4:I4"/>
    <mergeCell ref="J4:L4"/>
    <mergeCell ref="P4:R4"/>
    <mergeCell ref="G5:I5"/>
    <mergeCell ref="J5:L5"/>
    <mergeCell ref="M21:O21"/>
  </mergeCells>
  <pageMargins left="0.4" right="0.17" top="0.59" bottom="0.18" header="0.3" footer="0.17"/>
  <pageSetup paperSize="9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17</vt:i4>
      </vt:variant>
    </vt:vector>
  </HeadingPairs>
  <TitlesOfParts>
    <vt:vector size="31" baseType="lpstr">
      <vt:lpstr>สำนักปลัด</vt:lpstr>
      <vt:lpstr>คลัง</vt:lpstr>
      <vt:lpstr>ช่าง</vt:lpstr>
      <vt:lpstr>สาธารณสุข</vt:lpstr>
      <vt:lpstr>วิชาการ</vt:lpstr>
      <vt:lpstr>ศึกษา</vt:lpstr>
      <vt:lpstr>สวัสดิการ</vt:lpstr>
      <vt:lpstr>ตรวจสอบ (2)</vt:lpstr>
      <vt:lpstr>ตรวจสอบ</vt:lpstr>
      <vt:lpstr>สรุป</vt:lpstr>
      <vt:lpstr>สรุป (2)</vt:lpstr>
      <vt:lpstr>ช่าง (2)</vt:lpstr>
      <vt:lpstr>สาธารณสุข (2)</vt:lpstr>
      <vt:lpstr>ศึกษา (2)</vt:lpstr>
      <vt:lpstr>คลัง!Print_Area</vt:lpstr>
      <vt:lpstr>ช่าง!Print_Area</vt:lpstr>
      <vt:lpstr>'ช่าง (2)'!Print_Area</vt:lpstr>
      <vt:lpstr>ตรวจสอบ!Print_Area</vt:lpstr>
      <vt:lpstr>'ตรวจสอบ (2)'!Print_Area</vt:lpstr>
      <vt:lpstr>วิชาการ!Print_Area</vt:lpstr>
      <vt:lpstr>ศึกษา!Print_Area</vt:lpstr>
      <vt:lpstr>'ศึกษา (2)'!Print_Area</vt:lpstr>
      <vt:lpstr>สวัสดิการ!Print_Area</vt:lpstr>
      <vt:lpstr>สาธารณสุข!Print_Area</vt:lpstr>
      <vt:lpstr>'สาธารณสุข (2)'!Print_Area</vt:lpstr>
      <vt:lpstr>สำนักปลัด!Print_Area</vt:lpstr>
      <vt:lpstr>คลัง!Print_Titles</vt:lpstr>
      <vt:lpstr>ช่าง!Print_Titles</vt:lpstr>
      <vt:lpstr>ศึกษา!Print_Titles</vt:lpstr>
      <vt:lpstr>สาธารณสุข!Print_Titles</vt:lpstr>
      <vt:lpstr>สำนักปลัด!Print_Titles</vt:lpstr>
    </vt:vector>
  </TitlesOfParts>
  <Company>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Windows98 SE</dc:creator>
  <cp:lastModifiedBy>Original</cp:lastModifiedBy>
  <cp:lastPrinted>2014-10-20T03:13:34Z</cp:lastPrinted>
  <dcterms:created xsi:type="dcterms:W3CDTF">2003-06-03T04:26:46Z</dcterms:created>
  <dcterms:modified xsi:type="dcterms:W3CDTF">2014-10-20T03:13:42Z</dcterms:modified>
</cp:coreProperties>
</file>