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95" windowHeight="8115" activeTab="7"/>
  </bookViews>
  <sheets>
    <sheet name="สป." sheetId="1" r:id="rId1"/>
    <sheet name="คลัง" sheetId="11" r:id="rId2"/>
    <sheet name="ช่าง" sheetId="12" r:id="rId3"/>
    <sheet name="สาสุข" sheetId="13" r:id="rId4"/>
    <sheet name="วิชาการ" sheetId="15" r:id="rId5"/>
    <sheet name="ศึกษา" sheetId="14" r:id="rId6"/>
    <sheet name="สวัสดิการ" sheetId="16" r:id="rId7"/>
    <sheet name="ตรวจสอบ" sheetId="17" r:id="rId8"/>
  </sheets>
  <definedNames>
    <definedName name="_xlnm.Print_Titles" localSheetId="1">คลัง!$1:$7</definedName>
    <definedName name="_xlnm.Print_Titles" localSheetId="2">ช่าง!$1:$7</definedName>
    <definedName name="_xlnm.Print_Titles" localSheetId="7">ตรวจสอบ!$1:$7</definedName>
    <definedName name="_xlnm.Print_Titles" localSheetId="4">วิชาการ!$1:$7</definedName>
    <definedName name="_xlnm.Print_Titles" localSheetId="5">ศึกษา!$1:$7</definedName>
    <definedName name="_xlnm.Print_Titles" localSheetId="0">สป.!$1:$7</definedName>
    <definedName name="_xlnm.Print_Titles" localSheetId="6">สวัสดิการ!$1:$7</definedName>
    <definedName name="_xlnm.Print_Titles" localSheetId="3">สาสุข!$1:$7</definedName>
  </definedNames>
  <calcPr calcId="144525"/>
</workbook>
</file>

<file path=xl/calcChain.xml><?xml version="1.0" encoding="utf-8"?>
<calcChain xmlns="http://schemas.openxmlformats.org/spreadsheetml/2006/main">
  <c r="L48" i="14" l="1"/>
  <c r="L49" i="14"/>
  <c r="L47" i="14"/>
  <c r="L83" i="14"/>
  <c r="L71" i="14"/>
  <c r="J71" i="14"/>
  <c r="M71" i="14" s="1"/>
  <c r="J64" i="14"/>
  <c r="M77" i="14"/>
  <c r="L77" i="14"/>
  <c r="L57" i="14"/>
  <c r="K57" i="14"/>
  <c r="M57" i="14" s="1"/>
  <c r="J57" i="14"/>
  <c r="J15" i="15"/>
  <c r="J82" i="13"/>
  <c r="J79" i="13"/>
  <c r="J78" i="13"/>
  <c r="M50" i="13"/>
  <c r="M52" i="13"/>
  <c r="M54" i="13"/>
  <c r="M56" i="13"/>
  <c r="M58" i="13"/>
  <c r="M60" i="13"/>
  <c r="M62" i="13"/>
  <c r="M35" i="13"/>
  <c r="M78" i="12"/>
  <c r="M68" i="12"/>
  <c r="M70" i="12"/>
  <c r="M53" i="12"/>
  <c r="M55" i="12"/>
  <c r="M57" i="12"/>
  <c r="M59" i="12"/>
  <c r="M61" i="12"/>
  <c r="M63" i="12"/>
  <c r="M52" i="12"/>
  <c r="M43" i="12"/>
  <c r="L17" i="14"/>
  <c r="L16" i="14"/>
  <c r="L22" i="14"/>
  <c r="L34" i="15"/>
  <c r="L7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24" i="13"/>
  <c r="L23" i="13"/>
  <c r="L21" i="13"/>
  <c r="L20" i="13"/>
  <c r="L16" i="13"/>
  <c r="L78" i="12"/>
  <c r="L77" i="12"/>
  <c r="L70" i="12"/>
  <c r="L69" i="12"/>
  <c r="L68" i="12"/>
  <c r="L67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52" i="12"/>
  <c r="L47" i="12"/>
  <c r="L48" i="12"/>
  <c r="L49" i="12"/>
  <c r="L46" i="12"/>
  <c r="L45" i="12"/>
  <c r="L43" i="12"/>
  <c r="L42" i="12"/>
  <c r="L31" i="12"/>
  <c r="L32" i="12"/>
  <c r="L33" i="12"/>
  <c r="L30" i="12"/>
  <c r="L29" i="12"/>
  <c r="L28" i="12"/>
  <c r="L27" i="12"/>
  <c r="L26" i="12"/>
  <c r="L25" i="12"/>
  <c r="L24" i="12"/>
  <c r="L23" i="12"/>
  <c r="L22" i="12"/>
  <c r="L19" i="12"/>
  <c r="L18" i="12"/>
  <c r="M18" i="12" s="1"/>
  <c r="L17" i="12"/>
  <c r="L34" i="11"/>
  <c r="L30" i="11"/>
  <c r="L24" i="11"/>
  <c r="L23" i="11"/>
  <c r="L18" i="11"/>
  <c r="L35" i="1"/>
  <c r="L44" i="1"/>
  <c r="L65" i="1"/>
  <c r="L64" i="1"/>
  <c r="L63" i="1"/>
  <c r="L62" i="1"/>
  <c r="L61" i="1"/>
  <c r="L55" i="1"/>
  <c r="L48" i="1"/>
  <c r="L47" i="1"/>
  <c r="L46" i="1"/>
  <c r="L45" i="1"/>
  <c r="J17" i="16"/>
  <c r="J16" i="16"/>
  <c r="J86" i="14"/>
  <c r="J85" i="14"/>
  <c r="J82" i="14"/>
  <c r="J80" i="14"/>
  <c r="J79" i="14"/>
  <c r="J78" i="14"/>
  <c r="J77" i="14"/>
  <c r="J75" i="14"/>
  <c r="J74" i="14"/>
  <c r="J73" i="14"/>
  <c r="J70" i="14"/>
  <c r="J69" i="14"/>
  <c r="J65" i="14"/>
  <c r="J63" i="14"/>
  <c r="J62" i="14"/>
  <c r="J61" i="14"/>
  <c r="J60" i="14"/>
  <c r="J59" i="14"/>
  <c r="J81" i="14"/>
  <c r="J68" i="14"/>
  <c r="J67" i="14"/>
  <c r="J66" i="14"/>
  <c r="J58" i="14"/>
  <c r="J83" i="14"/>
  <c r="M83" i="14" s="1"/>
  <c r="J48" i="14"/>
  <c r="M48" i="14" s="1"/>
  <c r="J49" i="14"/>
  <c r="M49" i="14" s="1"/>
  <c r="J47" i="14"/>
  <c r="M47" i="14" s="1"/>
  <c r="J34" i="14"/>
  <c r="J35" i="14"/>
  <c r="J36" i="14"/>
  <c r="J37" i="14"/>
  <c r="J38" i="14"/>
  <c r="J33" i="14"/>
  <c r="J31" i="14"/>
  <c r="J30" i="14"/>
  <c r="J29" i="14"/>
  <c r="J28" i="14"/>
  <c r="J27" i="14"/>
  <c r="J26" i="14"/>
  <c r="J25" i="14"/>
  <c r="J24" i="14"/>
  <c r="J23" i="14"/>
  <c r="J22" i="14"/>
  <c r="M22" i="14" s="1"/>
  <c r="J17" i="14"/>
  <c r="M17" i="14" s="1"/>
  <c r="J16" i="14"/>
  <c r="M16" i="14" s="1"/>
  <c r="J34" i="15"/>
  <c r="M34" i="15" s="1"/>
  <c r="J26" i="15"/>
  <c r="J18" i="15"/>
  <c r="L38" i="11"/>
  <c r="L72" i="1"/>
  <c r="L67" i="1"/>
  <c r="L68" i="1"/>
  <c r="L69" i="1"/>
  <c r="L70" i="1"/>
  <c r="L71" i="1"/>
  <c r="L66" i="1"/>
  <c r="L50" i="1"/>
  <c r="L49" i="1"/>
  <c r="L36" i="1"/>
  <c r="L32" i="1"/>
  <c r="L31" i="1"/>
  <c r="J28" i="16"/>
  <c r="J15" i="16"/>
  <c r="K11" i="16"/>
  <c r="K19" i="16"/>
  <c r="M19" i="16" s="1"/>
  <c r="J19" i="16"/>
  <c r="J14" i="16"/>
  <c r="J11" i="16"/>
  <c r="M11" i="16" s="1"/>
  <c r="J33" i="15"/>
  <c r="K28" i="15"/>
  <c r="J28" i="15"/>
  <c r="M28" i="15" s="1"/>
  <c r="J25" i="15"/>
  <c r="J23" i="15"/>
  <c r="J17" i="15"/>
  <c r="J14" i="15"/>
  <c r="K11" i="15"/>
  <c r="J11" i="15"/>
  <c r="M11" i="15" s="1"/>
  <c r="L8" i="15"/>
  <c r="K8" i="15"/>
  <c r="J8" i="15"/>
  <c r="K19" i="14"/>
  <c r="J19" i="14"/>
  <c r="L8" i="14"/>
  <c r="K8" i="14"/>
  <c r="J8" i="14"/>
  <c r="J33" i="13"/>
  <c r="J32" i="13"/>
  <c r="J31" i="13"/>
  <c r="K86" i="13"/>
  <c r="J50" i="13"/>
  <c r="J51" i="13"/>
  <c r="M51" i="13" s="1"/>
  <c r="J52" i="13"/>
  <c r="J53" i="13"/>
  <c r="M53" i="13" s="1"/>
  <c r="J54" i="13"/>
  <c r="J55" i="13"/>
  <c r="M55" i="13" s="1"/>
  <c r="J56" i="13"/>
  <c r="J57" i="13"/>
  <c r="M57" i="13" s="1"/>
  <c r="J58" i="13"/>
  <c r="J59" i="13"/>
  <c r="M59" i="13" s="1"/>
  <c r="J60" i="13"/>
  <c r="J61" i="13"/>
  <c r="M61" i="13" s="1"/>
  <c r="J62" i="13"/>
  <c r="J63" i="13"/>
  <c r="M63" i="13" s="1"/>
  <c r="J49" i="13"/>
  <c r="M49" i="13" s="1"/>
  <c r="J48" i="13"/>
  <c r="M48" i="13" s="1"/>
  <c r="J47" i="13"/>
  <c r="M47" i="13" s="1"/>
  <c r="J46" i="13"/>
  <c r="M46" i="13" s="1"/>
  <c r="J45" i="13"/>
  <c r="M45" i="13" s="1"/>
  <c r="J44" i="13"/>
  <c r="M44" i="13" s="1"/>
  <c r="J43" i="13"/>
  <c r="M43" i="13" s="1"/>
  <c r="J42" i="13"/>
  <c r="M42" i="13" s="1"/>
  <c r="J41" i="13"/>
  <c r="M41" i="13" s="1"/>
  <c r="J40" i="13"/>
  <c r="M40" i="13" s="1"/>
  <c r="J39" i="13"/>
  <c r="M39" i="13" s="1"/>
  <c r="J38" i="13"/>
  <c r="M38" i="13" s="1"/>
  <c r="J37" i="13"/>
  <c r="M37" i="13" s="1"/>
  <c r="J36" i="13"/>
  <c r="M36" i="13" s="1"/>
  <c r="J35" i="13"/>
  <c r="J34" i="13"/>
  <c r="J24" i="13"/>
  <c r="M24" i="13" s="1"/>
  <c r="J23" i="13"/>
  <c r="M23" i="13" s="1"/>
  <c r="J21" i="13"/>
  <c r="M21" i="13" s="1"/>
  <c r="J20" i="13"/>
  <c r="M20" i="13" s="1"/>
  <c r="J19" i="13"/>
  <c r="J16" i="13"/>
  <c r="M16" i="13" s="1"/>
  <c r="J89" i="13"/>
  <c r="J86" i="13"/>
  <c r="M86" i="13" s="1"/>
  <c r="K74" i="13"/>
  <c r="J74" i="13"/>
  <c r="M74" i="13" s="1"/>
  <c r="J30" i="13"/>
  <c r="J18" i="13"/>
  <c r="J15" i="13"/>
  <c r="K11" i="13"/>
  <c r="M11" i="13" s="1"/>
  <c r="J11" i="13"/>
  <c r="L8" i="13"/>
  <c r="K8" i="13"/>
  <c r="J8" i="13"/>
  <c r="J22" i="11"/>
  <c r="J16" i="12"/>
  <c r="J60" i="1"/>
  <c r="J43" i="1"/>
  <c r="J42" i="1"/>
  <c r="J22" i="1"/>
  <c r="J78" i="12"/>
  <c r="J77" i="12"/>
  <c r="M77" i="12" s="1"/>
  <c r="J70" i="12"/>
  <c r="J69" i="12"/>
  <c r="M69" i="12" s="1"/>
  <c r="J68" i="12"/>
  <c r="J67" i="12"/>
  <c r="M67" i="12" s="1"/>
  <c r="J53" i="12"/>
  <c r="J54" i="12"/>
  <c r="M54" i="12" s="1"/>
  <c r="J55" i="12"/>
  <c r="J56" i="12"/>
  <c r="M56" i="12" s="1"/>
  <c r="J57" i="12"/>
  <c r="J58" i="12"/>
  <c r="M58" i="12" s="1"/>
  <c r="J59" i="12"/>
  <c r="J60" i="12"/>
  <c r="M60" i="12" s="1"/>
  <c r="J61" i="12"/>
  <c r="J62" i="12"/>
  <c r="M62" i="12" s="1"/>
  <c r="J63" i="12"/>
  <c r="J64" i="12"/>
  <c r="M64" i="12" s="1"/>
  <c r="J52" i="12"/>
  <c r="J47" i="12"/>
  <c r="M47" i="12" s="1"/>
  <c r="J48" i="12"/>
  <c r="M48" i="12" s="1"/>
  <c r="J49" i="12"/>
  <c r="M49" i="12" s="1"/>
  <c r="J46" i="12"/>
  <c r="M46" i="12" s="1"/>
  <c r="J45" i="12"/>
  <c r="M45" i="12" s="1"/>
  <c r="J43" i="12"/>
  <c r="J42" i="12"/>
  <c r="M42" i="12" s="1"/>
  <c r="J41" i="12"/>
  <c r="J40" i="12"/>
  <c r="J39" i="12"/>
  <c r="J31" i="12"/>
  <c r="M31" i="12" s="1"/>
  <c r="J32" i="12"/>
  <c r="M32" i="12" s="1"/>
  <c r="J33" i="12"/>
  <c r="M33" i="12" s="1"/>
  <c r="J30" i="12"/>
  <c r="M30" i="12" s="1"/>
  <c r="J29" i="12"/>
  <c r="M29" i="12" s="1"/>
  <c r="J28" i="12"/>
  <c r="M28" i="12" s="1"/>
  <c r="J27" i="12"/>
  <c r="M27" i="12" s="1"/>
  <c r="J26" i="12"/>
  <c r="M26" i="12" s="1"/>
  <c r="J25" i="12"/>
  <c r="M25" i="12" s="1"/>
  <c r="J24" i="12"/>
  <c r="M24" i="12" s="1"/>
  <c r="J23" i="12"/>
  <c r="M23" i="12" s="1"/>
  <c r="J22" i="12"/>
  <c r="M22" i="12" s="1"/>
  <c r="J19" i="12"/>
  <c r="M19" i="12" s="1"/>
  <c r="J18" i="12"/>
  <c r="J17" i="12"/>
  <c r="M17" i="12" s="1"/>
  <c r="J38" i="11"/>
  <c r="M38" i="11" s="1"/>
  <c r="J37" i="11"/>
  <c r="J34" i="11"/>
  <c r="M34" i="11" s="1"/>
  <c r="J30" i="11"/>
  <c r="M30" i="11" s="1"/>
  <c r="J24" i="11"/>
  <c r="M24" i="11" s="1"/>
  <c r="J23" i="11"/>
  <c r="M23" i="11" s="1"/>
  <c r="J18" i="11"/>
  <c r="M18" i="11" s="1"/>
  <c r="J71" i="1"/>
  <c r="M71" i="1" s="1"/>
  <c r="J72" i="1"/>
  <c r="M72" i="1" s="1"/>
  <c r="J70" i="1"/>
  <c r="M70" i="1" s="1"/>
  <c r="J69" i="1"/>
  <c r="M69" i="1" s="1"/>
  <c r="J68" i="1"/>
  <c r="M68" i="1" s="1"/>
  <c r="J67" i="1"/>
  <c r="M67" i="1" s="1"/>
  <c r="J66" i="1"/>
  <c r="M66" i="1" s="1"/>
  <c r="J65" i="1"/>
  <c r="M65" i="1" s="1"/>
  <c r="J64" i="1"/>
  <c r="M64" i="1" s="1"/>
  <c r="J63" i="1"/>
  <c r="M63" i="1" s="1"/>
  <c r="J62" i="1"/>
  <c r="M62" i="1" s="1"/>
  <c r="J61" i="1"/>
  <c r="M61" i="1" s="1"/>
  <c r="J55" i="1"/>
  <c r="M55" i="1" s="1"/>
  <c r="J50" i="1"/>
  <c r="J49" i="1"/>
  <c r="M49" i="1" s="1"/>
  <c r="J48" i="1"/>
  <c r="M48" i="1" s="1"/>
  <c r="J47" i="1"/>
  <c r="M47" i="1" s="1"/>
  <c r="J46" i="1"/>
  <c r="M46" i="1" s="1"/>
  <c r="J45" i="1"/>
  <c r="M45" i="1" s="1"/>
  <c r="J44" i="1"/>
  <c r="M44" i="1" s="1"/>
  <c r="J36" i="1"/>
  <c r="M36" i="1" s="1"/>
  <c r="J35" i="1"/>
  <c r="M35" i="1" s="1"/>
  <c r="J32" i="1"/>
  <c r="M32" i="1" s="1"/>
  <c r="J31" i="1"/>
  <c r="M31" i="1" s="1"/>
  <c r="J30" i="1"/>
  <c r="J29" i="1"/>
  <c r="J76" i="12"/>
  <c r="J66" i="12"/>
  <c r="J51" i="12"/>
  <c r="K35" i="12"/>
  <c r="J35" i="12"/>
  <c r="J21" i="12"/>
  <c r="J15" i="12"/>
  <c r="J14" i="12"/>
  <c r="L8" i="12"/>
  <c r="K8" i="12"/>
  <c r="J8" i="12"/>
  <c r="J36" i="11"/>
  <c r="K27" i="11"/>
  <c r="J27" i="11"/>
  <c r="J21" i="11"/>
  <c r="J17" i="11"/>
  <c r="L15" i="11"/>
  <c r="J15" i="11"/>
  <c r="J14" i="11"/>
  <c r="L8" i="11"/>
  <c r="K8" i="11"/>
  <c r="J8" i="11"/>
  <c r="K25" i="1"/>
  <c r="K38" i="1"/>
  <c r="K57" i="1"/>
  <c r="M57" i="1" s="1"/>
  <c r="J57" i="1"/>
  <c r="J41" i="1"/>
  <c r="J38" i="1"/>
  <c r="M38" i="1" s="1"/>
  <c r="J34" i="1"/>
  <c r="J28" i="1"/>
  <c r="J25" i="1"/>
  <c r="M25" i="1" s="1"/>
  <c r="J21" i="1"/>
  <c r="J20" i="1"/>
  <c r="L14" i="1"/>
  <c r="K14" i="1"/>
  <c r="J14" i="1"/>
  <c r="J8" i="1"/>
  <c r="L10" i="1"/>
  <c r="K10" i="1"/>
  <c r="L8" i="1"/>
  <c r="K8" i="1"/>
  <c r="J10" i="1"/>
  <c r="M50" i="1" l="1"/>
  <c r="M79" i="13"/>
  <c r="M8" i="11"/>
  <c r="M15" i="11"/>
  <c r="M27" i="11"/>
  <c r="M19" i="14"/>
  <c r="M8" i="15"/>
  <c r="M8" i="14"/>
  <c r="M8" i="13"/>
  <c r="M8" i="12"/>
  <c r="M35" i="12"/>
  <c r="M8" i="1"/>
  <c r="M14" i="1"/>
  <c r="M10" i="1"/>
</calcChain>
</file>

<file path=xl/sharedStrings.xml><?xml version="1.0" encoding="utf-8"?>
<sst xmlns="http://schemas.openxmlformats.org/spreadsheetml/2006/main" count="2978" uniqueCount="659">
  <si>
    <t xml:space="preserve"> เทศบาลเมืองสนั่นรักษ์  อำเภอธัญบุรี  จังหวัดปทุมธานี</t>
  </si>
  <si>
    <t>ชื่อ - สกุล</t>
  </si>
  <si>
    <t>คุณวุฒิ</t>
  </si>
  <si>
    <t>เงินเดือน</t>
  </si>
  <si>
    <t>เลขที่ตำแหน่ง</t>
  </si>
  <si>
    <t>ระดับ</t>
  </si>
  <si>
    <t>รป.ม.</t>
  </si>
  <si>
    <t>ปลัดเทศบาล</t>
  </si>
  <si>
    <t>(นักบริหารงานเทศบาล)</t>
  </si>
  <si>
    <t>นางภัสสุรีย์  วัฒนาดำรงรัตน์</t>
  </si>
  <si>
    <t>ศศ.ม.</t>
  </si>
  <si>
    <t>รองปลัดเทศบาล</t>
  </si>
  <si>
    <t xml:space="preserve"> -</t>
  </si>
  <si>
    <t>สำนักปลัดเทศบาล</t>
  </si>
  <si>
    <t>พ.จ.ต.เชิดพงศ์   อุทธศรี</t>
  </si>
  <si>
    <t>ร.บ.</t>
  </si>
  <si>
    <t>หัวหน้าสำนักปลัดเทศบาล</t>
  </si>
  <si>
    <t>(นักบริหารงานทั่วไป)</t>
  </si>
  <si>
    <t>งานธุรการ</t>
  </si>
  <si>
    <t>ป.4</t>
  </si>
  <si>
    <t>-</t>
  </si>
  <si>
    <t>พนักงานขับรถยนต์</t>
  </si>
  <si>
    <t>ปวช.</t>
  </si>
  <si>
    <t>ผู้ช่วยเจ้าหน้าที่ธุรการ</t>
  </si>
  <si>
    <t>ม.3</t>
  </si>
  <si>
    <t>ป.5</t>
  </si>
  <si>
    <t>คนงานทั่วไป</t>
  </si>
  <si>
    <t>ม.6</t>
  </si>
  <si>
    <t>ป.6</t>
  </si>
  <si>
    <t>ปวท.</t>
  </si>
  <si>
    <t>ฝ่ายอำนวยการ</t>
  </si>
  <si>
    <t>หัวหน้าฝ่ายอำนวยการ</t>
  </si>
  <si>
    <t>ฝ่ายบริหารงานทั่วไป</t>
  </si>
  <si>
    <t>ศศ.บ.</t>
  </si>
  <si>
    <t>หัวหน้าฝ่ายบริหารงานทั่วไป</t>
  </si>
  <si>
    <t>งานการเจ้าหน้าที่</t>
  </si>
  <si>
    <t>บธ.บ.</t>
  </si>
  <si>
    <t>นางน้ำผึ้ง ปรีเปรม</t>
  </si>
  <si>
    <t>บุคลากร</t>
  </si>
  <si>
    <t>นางสาวิตรี  ทรัพย์ประทุม</t>
  </si>
  <si>
    <t>ผู้ช่วยบุคลากร</t>
  </si>
  <si>
    <t>ฝ่ายปกครอง</t>
  </si>
  <si>
    <t>น.บ.</t>
  </si>
  <si>
    <t>หน.ฝ่ายปกครอง</t>
  </si>
  <si>
    <t>งานทะเบียนราษฎร</t>
  </si>
  <si>
    <t>นายกรันต์  อริยะสกุลสุข</t>
  </si>
  <si>
    <t xml:space="preserve">น.ส.ณิษาปวีร์  สรวงสุระไอยรา </t>
  </si>
  <si>
    <t>บธ.บ</t>
  </si>
  <si>
    <t>ผู้ช่วยเจ้าพนักงานทะเบียน</t>
  </si>
  <si>
    <t xml:space="preserve">น.ส.โฆสนารี  กสิกิจ </t>
  </si>
  <si>
    <t>นายรัฐจินันท์  ประสพเย็น</t>
  </si>
  <si>
    <t>ปวส.</t>
  </si>
  <si>
    <t>น.ส.แสงเดือน  เรืองศรี</t>
  </si>
  <si>
    <t>งานบัตรประจำตัวประชาชน</t>
  </si>
  <si>
    <t>นายวิชัย  พุฒบรรจง</t>
  </si>
  <si>
    <t>นางสุพรรษา  โกมลวิทย์</t>
  </si>
  <si>
    <t>ผู้ช่วยเจ้าหน้าที่ทะเบียน</t>
  </si>
  <si>
    <t>น.ส.ศโรชินี  ประดับญาติ</t>
  </si>
  <si>
    <t>นายทรงพล  ทองคำแสน</t>
  </si>
  <si>
    <t>ผู้ช่วยเจ้าหน้าที่เทศกิจ</t>
  </si>
  <si>
    <t>นายสมเจตน์  กวีวัฒนา</t>
  </si>
  <si>
    <t>นายสุวิทย์  ยิ่งปรางค์</t>
  </si>
  <si>
    <t>นายบุญเลิศ  สร้อยประดิษฐ์</t>
  </si>
  <si>
    <t>พนักงานขับรถดับเพลิง</t>
  </si>
  <si>
    <t>นายสุทิน  ขวกเขียว</t>
  </si>
  <si>
    <t>พนักงานดับเพลิง</t>
  </si>
  <si>
    <t>นายสร้าง   แก้วเกตุ</t>
  </si>
  <si>
    <t>นายสมคิด  ฮกสุน</t>
  </si>
  <si>
    <t>นายเชื่อม  ไชยไชย</t>
  </si>
  <si>
    <t>นายสุรชัย  สินธ์สมุทร</t>
  </si>
  <si>
    <t>นายอนุพงษ์  คนเล็ก</t>
  </si>
  <si>
    <t>นางสาวขวัญฤทัย  ทัพพ่วง</t>
  </si>
  <si>
    <t>นายสุพีระ  ขวกเขียว</t>
  </si>
  <si>
    <t>ที่</t>
  </si>
  <si>
    <t>กองคลัง</t>
  </si>
  <si>
    <t>ฝ่ายบริหารงานคลัง</t>
  </si>
  <si>
    <t>งานพัสดุและทรัพย์สิน</t>
  </si>
  <si>
    <t>งานการเงินและบัญชี</t>
  </si>
  <si>
    <t>ฝ่ายพัฒนารายได้</t>
  </si>
  <si>
    <t>งานพัฒนารายได้</t>
  </si>
  <si>
    <t>ผู้อำนวยการกองคลัง</t>
  </si>
  <si>
    <t>หัวหน้าฝ่ายพัฒนารายได้</t>
  </si>
  <si>
    <t>ผู้ช่วยเจ้าหน้าที่จัดเก็บรายได้</t>
  </si>
  <si>
    <t>ผู้ช่วยเจ้าหน้าที่การคลัง</t>
  </si>
  <si>
    <t>เจ้าหน้าที่สำรวจ</t>
  </si>
  <si>
    <t>นางสาวรสริน  ผู้เรียนศิลป์</t>
  </si>
  <si>
    <t>นายมังกร  บุญศิริ</t>
  </si>
  <si>
    <t>นายไกร  บุญศรี</t>
  </si>
  <si>
    <t>นายวสันศ์  สินธ์สมุทร</t>
  </si>
  <si>
    <t>นายธานี  แก้วเนตร</t>
  </si>
  <si>
    <t>นายพีระยุทธ์  ญาณจรูญ</t>
  </si>
  <si>
    <t>นายสมชาย  จันทร์ทวี</t>
  </si>
  <si>
    <t>นายกนกชัย  ใจรักธรรมเดช</t>
  </si>
  <si>
    <t>นางสุดสงวน  อำนาจ</t>
  </si>
  <si>
    <t>นางสาวจุฑามาศ  สุวรรณพงษ์</t>
  </si>
  <si>
    <t>นางสาววิไลวรรณ  คำฝึกฝน</t>
  </si>
  <si>
    <t>นางไพรัช  ต่ายสุวรรณ</t>
  </si>
  <si>
    <t>ฝ่ายแบบแผนและก่อสร้าง</t>
  </si>
  <si>
    <t>งานวิศวกรรม</t>
  </si>
  <si>
    <t>นายสมเชษฐ์  แป้นทอง</t>
  </si>
  <si>
    <t>นายทองเรียน  สารพงษ์</t>
  </si>
  <si>
    <t>นางมณฑา  แป้นทอง</t>
  </si>
  <si>
    <t>ฝ่ายการโยธา</t>
  </si>
  <si>
    <t>งานสาธารณูปโภค</t>
  </si>
  <si>
    <t>นายสมบุญ  พรมสาลี</t>
  </si>
  <si>
    <t>นายชลอ  เครือโชติ</t>
  </si>
  <si>
    <t>นายเกษม  เนียมสวัสดิ์</t>
  </si>
  <si>
    <t>นายนิกร  จันหอม</t>
  </si>
  <si>
    <t>นายนพรัตน์  จันหอม</t>
  </si>
  <si>
    <t>นายชาญชัย  ภู่นวล</t>
  </si>
  <si>
    <t>นายพรชัย  โทนสุวรรณ</t>
  </si>
  <si>
    <t>นายอดิศักดิ์  กิตติวิริยะกุล</t>
  </si>
  <si>
    <t>นายวีระศักดิ์  ทองที</t>
  </si>
  <si>
    <t>นางสาววิภาดา  สดมณี</t>
  </si>
  <si>
    <t>งานสวนสาธารณะ</t>
  </si>
  <si>
    <t>นางสาวภรินทร  จันทร์คำ</t>
  </si>
  <si>
    <t>นางสุนีย์  ห่วงปรากฏ</t>
  </si>
  <si>
    <t>นายสมชาย  มัยเจริญ</t>
  </si>
  <si>
    <t>นางคำพันธ์  ชูกลิ่น</t>
  </si>
  <si>
    <t>นางสาวจงกล  บุญศิริ</t>
  </si>
  <si>
    <t>นางสาวฉวี  ช่างเพชรผล</t>
  </si>
  <si>
    <t>นางบุญชู  เจนไร่</t>
  </si>
  <si>
    <t>นางชัชฎาภรณ์  ชินวรรัตนกนก</t>
  </si>
  <si>
    <t>นางสาวยุพา  ช่างเพรชผล</t>
  </si>
  <si>
    <t>นางสาวศิลาณี  มูลโพชา</t>
  </si>
  <si>
    <t>นางสาวน้ำทิพย์  มูลโพชา</t>
  </si>
  <si>
    <t>นางนันท์  อู่ทรัพย์</t>
  </si>
  <si>
    <t>นางสาวสมใจ  จันทร์แบน</t>
  </si>
  <si>
    <t>นายสมศักดิ์  ดวงทอง</t>
  </si>
  <si>
    <t>งานสถานที่และไฟฟ้าสาธารณะ</t>
  </si>
  <si>
    <t>นายปราโมทย์  อุบลหอม</t>
  </si>
  <si>
    <t>นายภัทราวุธ  สายด้วง</t>
  </si>
  <si>
    <t>นายนครินทร์  โกมลวิทย์</t>
  </si>
  <si>
    <t>นายจำลอง  สีหอม</t>
  </si>
  <si>
    <t>นายพิสูตร์  อำนาจ</t>
  </si>
  <si>
    <t>ฝ่ายผังเมือง</t>
  </si>
  <si>
    <t>งานผังเมือง</t>
  </si>
  <si>
    <t>นายชยานนท์  ศรีลาโชติ</t>
  </si>
  <si>
    <t>นายพุทธกร  วิริยารัมภะ</t>
  </si>
  <si>
    <t>นายจักรกฤษณ์  บุญฤทธิ์</t>
  </si>
  <si>
    <t>ผู้อำนวยการกองช่าง</t>
  </si>
  <si>
    <t>(นักบริหารงานช่าง)</t>
  </si>
  <si>
    <t>นายช่างโยธา</t>
  </si>
  <si>
    <t>ช่างศิลป์</t>
  </si>
  <si>
    <t>ผู้ช่วยช่างศิลป์</t>
  </si>
  <si>
    <t>หัวหน้าฝ่ายการโยธา</t>
  </si>
  <si>
    <t>พนักงานขับเครื่องจักรกลขนาดหนัก</t>
  </si>
  <si>
    <t>ผู้ช่วยช่างโยธา</t>
  </si>
  <si>
    <t>ช่างไม้</t>
  </si>
  <si>
    <t>นายช่างไฟฟ้า</t>
  </si>
  <si>
    <t>ผู้ช่วยช่างไฟฟ้า</t>
  </si>
  <si>
    <t>หัวหน้าฝ่ายผังเมือง</t>
  </si>
  <si>
    <t>ผู้ช่วยช่างเขียนแบบ</t>
  </si>
  <si>
    <t>ผู้ช่วยช่างสำรวจ</t>
  </si>
  <si>
    <t>วศ.บ.</t>
  </si>
  <si>
    <t>ป.ตรี</t>
  </si>
  <si>
    <t>ป.3</t>
  </si>
  <si>
    <t>วท.บ.</t>
  </si>
  <si>
    <t>กษ.บ.</t>
  </si>
  <si>
    <t>ค.อ.บ.</t>
  </si>
  <si>
    <t>กองช่าง</t>
  </si>
  <si>
    <t>กองสาธารณสุขและสิ่งแวดล้อม</t>
  </si>
  <si>
    <t>นางวิไล ฟักคำ</t>
  </si>
  <si>
    <t>นายเชาวลิต  วาดเขียน</t>
  </si>
  <si>
    <t>นายณัฐพงค์  ช่างเพ็ชรผล</t>
  </si>
  <si>
    <t>นายวัชระ  ป้อมคำ</t>
  </si>
  <si>
    <t>ฝ่ายบริหารงานสาธารณสุข</t>
  </si>
  <si>
    <t>นายศราวุธ  แจ่มดวง</t>
  </si>
  <si>
    <t>งานแผนงานสาธารณสุข</t>
  </si>
  <si>
    <t>ฝ่ายรักษาความสะอาด</t>
  </si>
  <si>
    <t>งานรักษาความสะอาด</t>
  </si>
  <si>
    <t>นายสำริด  ภู่ศรี</t>
  </si>
  <si>
    <t>นายสังวาลย์  รอดประชา</t>
  </si>
  <si>
    <t>นายถาวร  บุญเพ็ง</t>
  </si>
  <si>
    <t>นายไพศาล  ภิรมย์พร</t>
  </si>
  <si>
    <t>นายชุมพล  กล่อมเจริญ</t>
  </si>
  <si>
    <t>นายพนม  รอดประชา</t>
  </si>
  <si>
    <t>นายบุญเลิศ  พันธ์ทอง</t>
  </si>
  <si>
    <t>นายสนั่น  ทองแผ่น</t>
  </si>
  <si>
    <t>นายสมชิต  มูลประยูร</t>
  </si>
  <si>
    <t>นายวัฒนะ  จะวิเสน</t>
  </si>
  <si>
    <t>นายนัยรุ่ง  สร้อยทอง</t>
  </si>
  <si>
    <t>นายสมศักดิ์  จะวิเสน</t>
  </si>
  <si>
    <t>นายพะยม  สร้อยทอง</t>
  </si>
  <si>
    <t>นายวิศเวศ  สร้อยทอง</t>
  </si>
  <si>
    <t>นายสุทิน  ห่วงปรากฎ</t>
  </si>
  <si>
    <t>นายสินธุชา  ณ  บางช้าง</t>
  </si>
  <si>
    <t>นายอภิชาติ  อินทโชติ</t>
  </si>
  <si>
    <t>นายแผน  ศรีภาเพรช</t>
  </si>
  <si>
    <t>นายสายหยุด  ประสพเย็น</t>
  </si>
  <si>
    <t>นางบุญมา  สระน้ำอ้อม</t>
  </si>
  <si>
    <t>นางสมใจ  เมฆไพร</t>
  </si>
  <si>
    <t>นายบุญมี  มาสอาด</t>
  </si>
  <si>
    <t>นายต้อม  รอดประชา</t>
  </si>
  <si>
    <t>นายสุวพงษ์  กล่อมเจริญ</t>
  </si>
  <si>
    <t>นางสุรินทร์  สารพงษ์</t>
  </si>
  <si>
    <t>นางวิไล  ศรีสม</t>
  </si>
  <si>
    <t>นายแดง  เมฆไพร</t>
  </si>
  <si>
    <t>นายสุราษฎ์  ทองจัด</t>
  </si>
  <si>
    <t>นางสมปอง  กล่อมเจริญ</t>
  </si>
  <si>
    <t>นางสาวประไพ  ช่างเพรชผล</t>
  </si>
  <si>
    <t>นายมานะ  แก้วใสแสง</t>
  </si>
  <si>
    <t>นายไพรสน  กล่อมเจริญ</t>
  </si>
  <si>
    <t>น.ส.วัชรา  เปลี่ยนแก้ว</t>
  </si>
  <si>
    <t>ฝ่ายบริการสาธารณสุข</t>
  </si>
  <si>
    <t>นายอนันต์  กุณะพรม</t>
  </si>
  <si>
    <t>นายพีรพงศ์  เกาะทอง</t>
  </si>
  <si>
    <t>งานสัตวแพทย์</t>
  </si>
  <si>
    <t>นางสาวอังสนา  กิจเกษร</t>
  </si>
  <si>
    <t>งานส่งเสริมสุขภาพ</t>
  </si>
  <si>
    <t>งานศูนย์บริการสาธารณสุข</t>
  </si>
  <si>
    <t>นางภิญญาพัชญ์  เทียมนาขา</t>
  </si>
  <si>
    <t>สิบเอกหญิงประเพ็ญ  คงแก้วขาว</t>
  </si>
  <si>
    <t>ผู้อำนวยการกองสาธารณสุข ฯ</t>
  </si>
  <si>
    <t>(นักบริหารงานสาธารณสุข)</t>
  </si>
  <si>
    <t>ผู้ช่วยเจ้าพนักงานธุรการ</t>
  </si>
  <si>
    <t>หัวหน้าฝ่ายบริหารงานสาธารณสุข</t>
  </si>
  <si>
    <t>หัวหน้าฝ่ายรักษาความสะอาด</t>
  </si>
  <si>
    <t>พนักงานขับรถขยะ</t>
  </si>
  <si>
    <t>คนงานประจำรถขยะ</t>
  </si>
  <si>
    <t>พนักงานขับเครื่องจักรกลขนาดกลาง</t>
  </si>
  <si>
    <t>หัวหน้าฝ่ายบริการสาธารณสุข</t>
  </si>
  <si>
    <t>ผู้ช่วยเจ้าพนักงานส่งเสริมสุขภาพ</t>
  </si>
  <si>
    <t>ผู้ช่วยสัตวแพทย์</t>
  </si>
  <si>
    <t>นักวิชาการส่งเสริมสุขภาพ</t>
  </si>
  <si>
    <t xml:space="preserve"> ผู้ช่วยพยาบาลวิชาชีพ</t>
  </si>
  <si>
    <t>ส.บ.</t>
  </si>
  <si>
    <t>ป.7</t>
  </si>
  <si>
    <t>ม.4</t>
  </si>
  <si>
    <t>พย.บ.</t>
  </si>
  <si>
    <t>กองวิชาการและแผนงาน</t>
  </si>
  <si>
    <t>นายสอง  ศรีประเสริฐ</t>
  </si>
  <si>
    <t>เจ้าพนักงานธุรการ</t>
  </si>
  <si>
    <t>กองการศึกษา</t>
  </si>
  <si>
    <t>นายมนู  จันทร์หอม</t>
  </si>
  <si>
    <t>ศษ.บ.</t>
  </si>
  <si>
    <t>นางพรสรวง  ชาติชัย</t>
  </si>
  <si>
    <t>นางศรีนิล  นุทนงค์</t>
  </si>
  <si>
    <t>ฝ่ายแผนงานและโครงการ</t>
  </si>
  <si>
    <t>งานแผนงานและโครงการ</t>
  </si>
  <si>
    <t>2283-5</t>
  </si>
  <si>
    <t>1976-5</t>
  </si>
  <si>
    <t>ฝ่ายส่งเสริมการศึกษา ศาสนาและวัฒนธรรม</t>
  </si>
  <si>
    <t>นายธันว์  กัณหดิลก</t>
  </si>
  <si>
    <t>ศษ.ม.</t>
  </si>
  <si>
    <t>งานกิจกรรมเด็กและเยาวชน</t>
  </si>
  <si>
    <t>นางสุมณฑา  สำเภาแก้ว</t>
  </si>
  <si>
    <t>นางนริศรา  พรหมกุล</t>
  </si>
  <si>
    <t>นางพงษ์ศักดิ์  สีขาว</t>
  </si>
  <si>
    <t>นายอ๊อด  นิยมกล้า</t>
  </si>
  <si>
    <t>นางนงนุช  เจริญจันทร์</t>
  </si>
  <si>
    <t>นายยุทธศักดิ์  สุภาพ</t>
  </si>
  <si>
    <t>นางอุบล  บุญประสิทธิ์</t>
  </si>
  <si>
    <t>นายจุมพล  ตั้งคติธรรม</t>
  </si>
  <si>
    <t>นางรุ้งทิพย์  ษรสกุลทรัพย์</t>
  </si>
  <si>
    <t>ว่าที่ ร.ต.พัฒนพล  โรจนตุล</t>
  </si>
  <si>
    <t>นางพรพรรณ  ศรีคัชชะ</t>
  </si>
  <si>
    <t>งานกีฬาและนันทนาการ</t>
  </si>
  <si>
    <t>ฝ่ายบริหารการศึกษา</t>
  </si>
  <si>
    <t>งานส่งเสริมคุณภาพและมาตรฐานการศึกษา</t>
  </si>
  <si>
    <t>งานโรงเรียน</t>
  </si>
  <si>
    <t>นางชามาพัชร์  วราฐิติโรจน์</t>
  </si>
  <si>
    <t>นายดุสิต  สิงห์บุบผา</t>
  </si>
  <si>
    <t>ค.บ.</t>
  </si>
  <si>
    <t>นางกัณกนิษฐ์  พุ่มศิริอมรา</t>
  </si>
  <si>
    <t>นางทัศนีย์  บุญชู</t>
  </si>
  <si>
    <t>ว่าที่  ร.ต.นฐวรรษ  วัฒนวิจารณ์</t>
  </si>
  <si>
    <t>คศ.บ.</t>
  </si>
  <si>
    <t>นายยุทธนา  ตั้งคติธรรม</t>
  </si>
  <si>
    <t>นายพัฒนา  พูนทรัพย์</t>
  </si>
  <si>
    <t>กศ.บ.</t>
  </si>
  <si>
    <t>ว่าที่  ร.ต.ทวีศักดิ์  สาแก้ว</t>
  </si>
  <si>
    <t>ค.ม.</t>
  </si>
  <si>
    <t>นายทัศนัย  สายแสง</t>
  </si>
  <si>
    <t>ศษ.ม</t>
  </si>
  <si>
    <t>นายพงศกร  อนุพันธ์</t>
  </si>
  <si>
    <t>นายพร้อมพงษ์พรรณ  บุญราช</t>
  </si>
  <si>
    <t>นางรังสิตา  เทพสุวรรณ</t>
  </si>
  <si>
    <t>นายสำราญ  จันดีแก้ว</t>
  </si>
  <si>
    <t>(นักบริหารการศึกษา)</t>
  </si>
  <si>
    <t>หัวหน้าฝ่ายแผนงานและโครงการ</t>
  </si>
  <si>
    <t>บุคลากรสนับสนุนการสอน</t>
  </si>
  <si>
    <t>ผช.ครูผู้ดูแลเด็ก</t>
  </si>
  <si>
    <t>นักวิชาการศึกษา</t>
  </si>
  <si>
    <t>ครู</t>
  </si>
  <si>
    <t>ครูผู้ดูแลเด็ก</t>
  </si>
  <si>
    <t>ครูผู้ช่วย</t>
  </si>
  <si>
    <t xml:space="preserve"> บัญชีแสดงการจัดคนลงสู่ตำแหน่งและการกำหนดเลขที่ตำแหน่งในส่วนราชการ  ตามแผนอัตรากำลัง ๓ ปี (พ.ศ.๒๕๕๘-๒๕๖๐)</t>
  </si>
  <si>
    <t>การศึกษา</t>
  </si>
  <si>
    <t>กรอบอัตรากำลังเดิม</t>
  </si>
  <si>
    <t>ตำแหน่ง</t>
  </si>
  <si>
    <t>๐๐-๐๑๐๑-๐๐๑</t>
  </si>
  <si>
    <t>เงินประจำ</t>
  </si>
  <si>
    <t>เงินเพิ่มอื่นๆ</t>
  </si>
  <si>
    <t>เงินค่าตอบแทน</t>
  </si>
  <si>
    <t>หมายเหตุ</t>
  </si>
  <si>
    <t>๐๐-๐๑๐๑-๐๐๒</t>
  </si>
  <si>
    <t>๐๐-๐๑๐๑-๐๐๓</t>
  </si>
  <si>
    <t>๐๑-๐๑๐๒-๐๐๑</t>
  </si>
  <si>
    <t>หัวหน้าฝ่ายปกครอง</t>
  </si>
  <si>
    <t>ต้น</t>
  </si>
  <si>
    <t>๒๘-๒-๐๐-๑๑๐๑-๐๐๑</t>
  </si>
  <si>
    <t>๒๘-๒-๐๐-๑๑๐๑-๐๐๒</t>
  </si>
  <si>
    <t>๒๘-๒-๐๐-๑๑๐๑-๐๐๓</t>
  </si>
  <si>
    <t>สูง</t>
  </si>
  <si>
    <t>กลาง</t>
  </si>
  <si>
    <t>เลขที่</t>
  </si>
  <si>
    <t>ว่าง</t>
  </si>
  <si>
    <t>๒๘-๒-๐๑-๒๑๐๑-๐๐๑</t>
  </si>
  <si>
    <t>๐๑-๐๑๐๒-๐๐๒</t>
  </si>
  <si>
    <t>๒๘-๒-๐๑-๒๑๐๑-๐๐๖</t>
  </si>
  <si>
    <t>น.ส.รัชนี วัฒนกวี</t>
  </si>
  <si>
    <t>๖ว</t>
  </si>
  <si>
    <t>๐๑-๐๓๐๘-๐๐๑</t>
  </si>
  <si>
    <t>๒๘-๒-๐๑-๓๑๐๒-๐๐๑</t>
  </si>
  <si>
    <t>นักทรัพยากรบุคคล</t>
  </si>
  <si>
    <t>ชำนาญการ</t>
  </si>
  <si>
    <t>๐๑-๐๓๐๘-๐๐๒</t>
  </si>
  <si>
    <t>๒๘-๒-๐๑-๓๑๐๒-๐๐๒</t>
  </si>
  <si>
    <t>ปฏิบัติการ</t>
  </si>
  <si>
    <t>๐๑-๐๑๐๒-๐๐๓</t>
  </si>
  <si>
    <t>๒๘-๒-๐๑-๒๑๐๑-๐๐๔</t>
  </si>
  <si>
    <t>(นักบริหารงานท้องถิ่น)</t>
  </si>
  <si>
    <t>จนท.บริหารงานทะเบียนและบัตร</t>
  </si>
  <si>
    <t>๗ว</t>
  </si>
  <si>
    <t>๐๑-๐๒๑๕-๐๐๑</t>
  </si>
  <si>
    <t>นักจัดการงานทะเบียนและบัตร</t>
  </si>
  <si>
    <t>๒๘-๒-๐๑-๓๑๐๔-๐๐๑</t>
  </si>
  <si>
    <t>๐๑-๐๒๑๕-๐๐๒</t>
  </si>
  <si>
    <t>๒๘-๒-๐๑-๓๑๐๔-๐๐๒</t>
  </si>
  <si>
    <t>๐๑-๐๑๐๒-๐๐๘</t>
  </si>
  <si>
    <t>๒๘-๒-๐๑-๒๑๐๑-๐๐๓</t>
  </si>
  <si>
    <t>๐๑-๐๒๒๒-๐๐๑</t>
  </si>
  <si>
    <t>๒๘-๒-๐๑-๔๘๐๕-๐๐๑</t>
  </si>
  <si>
    <t>จพง.ป้องกันฯ</t>
  </si>
  <si>
    <t>ชำนาญงาน</t>
  </si>
  <si>
    <t xml:space="preserve"> จพง.ป้องกันและบรรเทาสาธารณภัย</t>
  </si>
  <si>
    <t>งานป้องกันและบรรเทาสาธารณภัย</t>
  </si>
  <si>
    <t>งานรักษาความสงบ</t>
  </si>
  <si>
    <t>๐๑-๐๒๒๔-๐๐๑</t>
  </si>
  <si>
    <t xml:space="preserve">เจ้าพนักงานเทศกิจ </t>
  </si>
  <si>
    <t>เจ้าพนักงานเทศกิจ</t>
  </si>
  <si>
    <t>ปก/ชก.</t>
  </si>
  <si>
    <t>๒๘-๒-๐๑-๔๘๐๔-๐๐๑</t>
  </si>
  <si>
    <t>นายสุเทพ ธัญกิจวรกุล</t>
  </si>
  <si>
    <t>ศศ.บ. (รัฐศาสตร์)</t>
  </si>
  <si>
    <t>๐๑-๐๑๐๒-๐๐๗</t>
  </si>
  <si>
    <t>๒๘-๒-๐๑-๒๑๐๑-๐๐๕</t>
  </si>
  <si>
    <t>นายมานพ  บัวสุวรรณ</t>
  </si>
  <si>
    <t>นางรำภู  บัวสุวรรณ</t>
  </si>
  <si>
    <t>นายวินัย  แตงไทยหอม</t>
  </si>
  <si>
    <t>นายบุญสม  อินทโชติ</t>
  </si>
  <si>
    <t>นายสามารถ  สัมพันธ์</t>
  </si>
  <si>
    <t>นายสุนทร  หอมมณฑา</t>
  </si>
  <si>
    <t>นายอำพันธ์   ชูกลิ่น</t>
  </si>
  <si>
    <t>นางณัฏฐมน  พลบัตร</t>
  </si>
  <si>
    <t>นางกัญญาวีร์  ธนวัฒนันทกุล</t>
  </si>
  <si>
    <t>มศ.3</t>
  </si>
  <si>
    <t>น.ส.ปทุม  อัมฤทธิ์</t>
  </si>
  <si>
    <t>น.ส.สำลี  มั่งมาก</t>
  </si>
  <si>
    <t>นายณัฐฐพงษ์ พงษ์จินดา</t>
  </si>
  <si>
    <t>น.ส.อรอุษา ช่างเพ็ชร์ผล</t>
  </si>
  <si>
    <t>งานกิจการสภา</t>
  </si>
  <si>
    <t>นางจันทิมา โมราถบ</t>
  </si>
  <si>
    <t>๐๔-๐๑๐๓-๐๐๑</t>
  </si>
  <si>
    <t>(นักบริหารงานการคลัง)</t>
  </si>
  <si>
    <t xml:space="preserve"> ๒๘-๒-๐๔-๒๑๐๒-๐๐๑</t>
  </si>
  <si>
    <t>๐๔-๐๑๐๓-๐๐๒</t>
  </si>
  <si>
    <t>หน.ฝ่ายบริหารงานคลัง</t>
  </si>
  <si>
    <t xml:space="preserve"> ๒๘-๒-๐๔-๒๑๐๒-๐๐๒</t>
  </si>
  <si>
    <t xml:space="preserve"> ๒๘-๒-๐๔-๒๑๐๒-๐๐๓</t>
  </si>
  <si>
    <t>นางจงกลณี ประเสริฐแสง</t>
  </si>
  <si>
    <t>๐๔-๐๑๐๓-๐๐๓</t>
  </si>
  <si>
    <t>๐๔-๐๓๑๑-๐๐๑</t>
  </si>
  <si>
    <t>นักวิชาการพัสดุ</t>
  </si>
  <si>
    <t xml:space="preserve"> ๒๘-๒-๐๔-๓๒๐๔-๐๐๑</t>
  </si>
  <si>
    <t>น.ส.อุมาภรณ์ ฆารสว่าง</t>
  </si>
  <si>
    <t xml:space="preserve"> คนงานทั่วไป</t>
  </si>
  <si>
    <t>น.ส.จารุวรรณ ผิวเกลี้ยง</t>
  </si>
  <si>
    <t>นักวิชาการเงินและบัญชี</t>
  </si>
  <si>
    <t>๐๔-๐๓๐๗-๐๐๑</t>
  </si>
  <si>
    <t xml:space="preserve"> ๒๘-๒-๐๔-๓๒๐๑-๐๐๑</t>
  </si>
  <si>
    <t xml:space="preserve"> ผู้ช่วยเจ้าหน้าที่การเงินและบัญชี</t>
  </si>
  <si>
    <t>นางจิราวรรณ์ บุญนุวงศ์</t>
  </si>
  <si>
    <t>๐๔-๐๒๑๒-๐๑๐</t>
  </si>
  <si>
    <t xml:space="preserve"> ๒๘-๒-๐๔-๔๑๐๑-๐๐๑</t>
  </si>
  <si>
    <t>นางภัทรภร พูลทวี</t>
  </si>
  <si>
    <t xml:space="preserve"> พนักงานพิมพ์ดีด</t>
  </si>
  <si>
    <t>ม.๖</t>
  </si>
  <si>
    <t>น.ส.อัญชัญ วอนเผื่อน</t>
  </si>
  <si>
    <t>นายนิพนธ์ ชูกลิ่น</t>
  </si>
  <si>
    <t>ม.๓</t>
  </si>
  <si>
    <t>น.ส.เสาวนีย์ กาญจนถึง</t>
  </si>
  <si>
    <t>นายนรินทร์ ต่ายสุวรรณ์</t>
  </si>
  <si>
    <t>งานผลประโยชน์และกิจการพาณิชย์)</t>
  </si>
  <si>
    <t>เจ้าพนักงานจัดเก็บรายได้</t>
  </si>
  <si>
    <t>๐๔-๐๓๐๙-๐๐๒</t>
  </si>
  <si>
    <t xml:space="preserve"> ๒-๔/๕</t>
  </si>
  <si>
    <t xml:space="preserve"> ๒๘-๒-๐๔-๔๒๐๔-๐๐๑</t>
  </si>
  <si>
    <t>ปง./ชง.</t>
  </si>
  <si>
    <t>น.ส.จินดา นุทนงค์</t>
  </si>
  <si>
    <t>งานแผนที่ภาษีฯ</t>
  </si>
  <si>
    <t>นักวิชาการคลัง</t>
  </si>
  <si>
    <t>นางมนทกานต์ คำปราณีต</t>
  </si>
  <si>
    <t>๐๔-๐๓๐๔-๐๐๑</t>
  </si>
  <si>
    <t xml:space="preserve"> ๒๘-๒-๐๔-๒๓๐๒-๐๐๑</t>
  </si>
  <si>
    <t>น.ส.ศิริลักษณ์ รักใคร่</t>
  </si>
  <si>
    <t xml:space="preserve"> ผู้ช่วยนักวิชาการคลัง</t>
  </si>
  <si>
    <t>นายสมชาติ สินธ์สมุทร</t>
  </si>
  <si>
    <t>นายจารุพจน์ สดมณี</t>
  </si>
  <si>
    <t>๐๕-๐๑๐๔-๐๐๑</t>
  </si>
  <si>
    <t>๒๘-๒-๐๕-๒๑๐๓-๐๐๑</t>
  </si>
  <si>
    <t>๐๕-๐๑๐๔-๐๐๒</t>
  </si>
  <si>
    <t>หัวหน้าฝ่ายแบบแผนฯ</t>
  </si>
  <si>
    <t>๒๘-๒-๐๕-๒๑๐๓-๐๐๒</t>
  </si>
  <si>
    <t>๒๘-๒-๐๕-๒๑๐๓-๐๐๓</t>
  </si>
  <si>
    <t>นายปรเมษฐ์ ประภาสะวัต</t>
  </si>
  <si>
    <t>๐๕-๐๑๐๔-๐๐๓</t>
  </si>
  <si>
    <t>๐๕-๐๕๑๕-๐๐๑</t>
  </si>
  <si>
    <t>วิศวกรโยธา</t>
  </si>
  <si>
    <t>๒๘-๒-๐๕-๒๑๐๓-๐๐๔</t>
  </si>
  <si>
    <t>๒๘-๒-๐๕-๓๗๐๑-๐๐๑</t>
  </si>
  <si>
    <t>นายสิงห์ทอง เจริญศิริ</t>
  </si>
  <si>
    <t>๐๕-๐๕๐๓-๐๐๑</t>
  </si>
  <si>
    <t>๒๘-๒-๐๕-๔๗๐๑-๐๐๑</t>
  </si>
  <si>
    <t>นายกรเอก สธารัตน์</t>
  </si>
  <si>
    <t>น.ส.กรองแก้ว กันภัย</t>
  </si>
  <si>
    <t>๐๕-๐๕๐๓-๐๐๒</t>
  </si>
  <si>
    <t>๐๕-๐๒๐๙-๐๐๑</t>
  </si>
  <si>
    <t>เจ้าหน้าที่บริหารงานทั่วไป</t>
  </si>
  <si>
    <t>๒๘-๒-๐๕-๔๗๐๑-๐๐๒</t>
  </si>
  <si>
    <t>๒๘-๒-๐๕-๓๑๐๑-๐๐๑</t>
  </si>
  <si>
    <t>นักจัดการงานทั่วไป</t>
  </si>
  <si>
    <t>นายอำนาจ จีวะสังข์</t>
  </si>
  <si>
    <t>๐๕-๐๑๐๔-๐๐๔</t>
  </si>
  <si>
    <t>๐๕-๐๗๐๗-๐๐๑</t>
  </si>
  <si>
    <t>นักวิชาการสวนสาธารณะ</t>
  </si>
  <si>
    <t>๒๘-๒-๐๕-๓๔๐๓-๐๐๑</t>
  </si>
  <si>
    <t>๐๕-๐๕๒๔-๐๐๑</t>
  </si>
  <si>
    <t>ปฏิบัติงาน</t>
  </si>
  <si>
    <t>๒๘-๒-๐๕-๔๗๐๖-๐๐๑</t>
  </si>
  <si>
    <t>๐๕-๐๕๐๖-๐๐๑</t>
  </si>
  <si>
    <t>นักผังเมือง</t>
  </si>
  <si>
    <t>๒๘-๒-๐๕-๓๗๐๓-๐๐๑</t>
  </si>
  <si>
    <t>นางนันท์สิตา แสงวัชระกุล</t>
  </si>
  <si>
    <t>๐๖-๐๑๐๕-๐๐๑</t>
  </si>
  <si>
    <t>๒๘-๒-๐๖-๒๑๐๔-๐๐๑</t>
  </si>
  <si>
    <t>นางสุพรรณี โพธิ</t>
  </si>
  <si>
    <t>๐๖-๐๑๐๕-๐๐๒</t>
  </si>
  <si>
    <t>๒๘-๒-๐๖-๒๑๐๔-๐๐๒</t>
  </si>
  <si>
    <t>๒๘-๒-๐๖-๒๑๐๔-๐๐๓</t>
  </si>
  <si>
    <t>งานสุขาภิบาลและอนามัยฯ</t>
  </si>
  <si>
    <t>นางสุสงวน สุวรรณรี</t>
  </si>
  <si>
    <t>๐๖-๐๔๐๖-๐๐๑</t>
  </si>
  <si>
    <t>นักวิชาการสุขาภิบาล</t>
  </si>
  <si>
    <t>๒๘-๒-๐๖-๒๑๐๔-๐๐๔</t>
  </si>
  <si>
    <t>๒๘-๒-๐๖-๓๖๐๖-๐๐๑</t>
  </si>
  <si>
    <t>น.ส.ภาสพรรณ น้อยเทียม</t>
  </si>
  <si>
    <t>๐๖-๐๒๑๒-๐๐๕</t>
  </si>
  <si>
    <t>๒๘-๒-๐๖-๔๑๐๑-๐๐๒</t>
  </si>
  <si>
    <t>๐๖-๐๑๐๕-๐๐๔</t>
  </si>
  <si>
    <t>นางวัฒนา เอี่ยมโกศรี</t>
  </si>
  <si>
    <t>๐๖-๐๔๐๒-๐๐๔</t>
  </si>
  <si>
    <t>เจ้าพนักงานสาธารณสุขชุมชน</t>
  </si>
  <si>
    <t>๒๘-๒-๐๖-๔๖๐๑-๐๐๑</t>
  </si>
  <si>
    <t>เจ้าพนักงานสาธารณสุข</t>
  </si>
  <si>
    <t>นางทองคำ หมุดทอง</t>
  </si>
  <si>
    <t>๐๖-๐๑๐๕-๐๐๓</t>
  </si>
  <si>
    <t>งานป้องกันและควบคุมโรคติดต่อ</t>
  </si>
  <si>
    <t>๐๖-๐๔๑๓-๐๐๑</t>
  </si>
  <si>
    <t>พยาบาลวิชาชีพ</t>
  </si>
  <si>
    <t xml:space="preserve"> ๓-๕/๖ว</t>
  </si>
  <si>
    <t>ปก./ชก.</t>
  </si>
  <si>
    <t>๒๘-๒-๐๖-๓๖๐๒-๐๐๒</t>
  </si>
  <si>
    <t>๐๖-๐๔๐๕-๐๐๑</t>
  </si>
  <si>
    <t xml:space="preserve">สัตวแพทย์ </t>
  </si>
  <si>
    <t>๒๘-๒-๐๖-๓๖๐๒-๐๐๓</t>
  </si>
  <si>
    <t>๒๘-๒-๐๖-๔๖๑๐-๐๐๑</t>
  </si>
  <si>
    <t>๐๖-๐๔๑๓-๐๐๓</t>
  </si>
  <si>
    <t>๐๖-๐๔๑๓-๐๐๔</t>
  </si>
  <si>
    <t>๐๖-๐๔๑๓-๐๐๒</t>
  </si>
  <si>
    <t>๒๘-๒-๐๖-๓๖๐๒-๐๐๔</t>
  </si>
  <si>
    <t>๒๘-๒-๐๖-๓๖๐๒-๐๐๑</t>
  </si>
  <si>
    <t>๐๖-๐๔๐๙-๐๐๑</t>
  </si>
  <si>
    <t>๒๘-๒-๐๖-๓๖๐๑-๐๐๑</t>
  </si>
  <si>
    <t>นักวิชาการสาธารณสุข</t>
  </si>
  <si>
    <t>ผู้ช่วยพยาบาลวิชาชีพ</t>
  </si>
  <si>
    <t>๐๘-๐๑๐๘-๐๐๑</t>
  </si>
  <si>
    <t>ผู้อำนวยการกองการศึกษา</t>
  </si>
  <si>
    <t>๒๘-๒-๐๘-๒๑๐๗-๐๐๑</t>
  </si>
  <si>
    <t>(นักบริหารงานศึกษา)</t>
  </si>
  <si>
    <t>๐๘-๐๑๐๘-๐๐๒</t>
  </si>
  <si>
    <t>๒๘-๒-๐๘-๒๑๐๗-๐๐๒</t>
  </si>
  <si>
    <t>๒๘-๒-๐๘-๒๑๐๗-๐๐๓</t>
  </si>
  <si>
    <t>๐๘-๐๑๐๘-๐๐๔</t>
  </si>
  <si>
    <t>หัวหน้าฝ่ายส่งเสริมฯ</t>
  </si>
  <si>
    <t>๒๘-๒-๐๘-๒๑๐๗-๐๐๔</t>
  </si>
  <si>
    <t>งานศาสนา ประเพณี และวัฒนธรรม</t>
  </si>
  <si>
    <t>๐๘-๐๑๐๘-๐๐๓</t>
  </si>
  <si>
    <t>๐๘-๐๘๐๕-๐๐๓</t>
  </si>
  <si>
    <t>๒๘-๒-๐๘-๓๘๐๓-๐๐๑</t>
  </si>
  <si>
    <t>โรงเรียนอนุบาลฯ  ๑</t>
  </si>
  <si>
    <t>ผู้อำนวยการสถานศึกษา</t>
  </si>
  <si>
    <t>ค.ศ.๒</t>
  </si>
  <si>
    <t>ค.ศ.๓</t>
  </si>
  <si>
    <t>ค.ศ.๑</t>
  </si>
  <si>
    <t>๒๙๖๔๘-๑</t>
  </si>
  <si>
    <t>๒๔๑๔๘-๒</t>
  </si>
  <si>
    <t>๒๔๑๔๙-๒</t>
  </si>
  <si>
    <t>๒๔๑๕๒-๒</t>
  </si>
  <si>
    <t>๒๔๑๔๔-๒</t>
  </si>
  <si>
    <t>๒๔๑๗๒-๒</t>
  </si>
  <si>
    <t>๒๔๑๗๔-๒</t>
  </si>
  <si>
    <t>๓๐๙๕๕-๒</t>
  </si>
  <si>
    <t>๓๐๙๕๖-๒</t>
  </si>
  <si>
    <t>๓๐๙๘๒-๒</t>
  </si>
  <si>
    <t>๓๐๙๘๐-๒</t>
  </si>
  <si>
    <t>๓๐๙๘๑-๒</t>
  </si>
  <si>
    <t>๓๓๙๔๘-๒</t>
  </si>
  <si>
    <t>๒๔๑๕๓-๒</t>
  </si>
  <si>
    <t xml:space="preserve"> ภารโรง</t>
  </si>
  <si>
    <t>ภารโรง</t>
  </si>
  <si>
    <t>ศูนย์พัฒนาเด็กเล็กฯ ๑</t>
  </si>
  <si>
    <t>๑๒-๒-๐๐๓๖</t>
  </si>
  <si>
    <t>๑๒-๒-๐๐๘๕</t>
  </si>
  <si>
    <t>๑๒-๒-๐๐๘๖</t>
  </si>
  <si>
    <t>โรงเรียนอนุบาลฯ ๒</t>
  </si>
  <si>
    <t>๓๐๙๕๗-๑</t>
  </si>
  <si>
    <t>๒๔๑๕๐-๒</t>
  </si>
  <si>
    <t>๒๔๑๕๑-๒</t>
  </si>
  <si>
    <t>๒๘๑๗๓-๒</t>
  </si>
  <si>
    <t>๓๒๙๘๓-๓</t>
  </si>
  <si>
    <t>๓๓๙๔๙-๒</t>
  </si>
  <si>
    <t>ศูนย์พัฒนาเด็กเล็กฯ ๒</t>
  </si>
  <si>
    <t>๑๒-๒-๐๐๓๕</t>
  </si>
  <si>
    <t>๑๒-๒-๐๐๘๗</t>
  </si>
  <si>
    <t>นายปัญญา สมฆ้อง</t>
  </si>
  <si>
    <t>นายชวน พุ่มมาลา</t>
  </si>
  <si>
    <t>น.ส.ณปภัช พิชญางกูลกุลกร</t>
  </si>
  <si>
    <t>๐๗-๐๑๐๒-๐๐๔</t>
  </si>
  <si>
    <t>ผู้อำนวยการกองวิชาการฯ</t>
  </si>
  <si>
    <t>๒๘-๒-๐๗-๒๑๐๒-๐๐๒</t>
  </si>
  <si>
    <t>น.ส.กัญยารัตน์ งามล้ำเลิศสกุล</t>
  </si>
  <si>
    <t>ร.ม.</t>
  </si>
  <si>
    <t>ฝ่ายบริการและเผยแพร่วิชาการ</t>
  </si>
  <si>
    <t>หัวหน้าฝ่ายบริการฯ</t>
  </si>
  <si>
    <t>๐๗-๐๑๐๒-๐๐๕</t>
  </si>
  <si>
    <t>๒๘-๒-๐๗-๒๑๐๒-๐๐๗</t>
  </si>
  <si>
    <t>งานบริการและเผยแพร่วิชาการ</t>
  </si>
  <si>
    <t>น.ส.ลาวัลย์ ทรัพย์ประทุม</t>
  </si>
  <si>
    <t>๐๗-๐๒๐๑-๐๐๒</t>
  </si>
  <si>
    <t>๒๘-๒-๐๗-๒๑๐๒-๐๐๘</t>
  </si>
  <si>
    <t>๒๘-๒-๐๗-๓๑๐๓-๐๐๒</t>
  </si>
  <si>
    <t>นักวิเคราะห์นโยบายและแผน</t>
  </si>
  <si>
    <t>น.ส.พัชรินทร์ โพธิรัตนแสงชัย</t>
  </si>
  <si>
    <t>ผู้ช่วยนักวิชาการประชาสัมพันธ์</t>
  </si>
  <si>
    <t>งานบริการข้อมูลข่าวสารท้องถิ่น</t>
  </si>
  <si>
    <t>น.ส.จิรัญญา ฉิมพลี</t>
  </si>
  <si>
    <t>๐๗-๐๒๐๕-๐๐๑</t>
  </si>
  <si>
    <t>นักวิชาการประชาสัมพันธ์</t>
  </si>
  <si>
    <t>๒๘-๒-๐๗-๓๕๐๑-๐๐๑</t>
  </si>
  <si>
    <t>น.ส.เอมอร ดีวงษา</t>
  </si>
  <si>
    <t xml:space="preserve"> ผู้ช่วยนักวิชาการประชาสัมพันธ์</t>
  </si>
  <si>
    <t>ฝ่ายแผนงานและงบประมาณ</t>
  </si>
  <si>
    <t>๐๗-๐๑๐๒-๐๐๖</t>
  </si>
  <si>
    <t>หัวหน้าฝ่ายแผนงานฯ</t>
  </si>
  <si>
    <t>งานจัดทำงบประมาณ</t>
  </si>
  <si>
    <t>น.ส.นันท์พนิตา นาคะโยธินสกุล</t>
  </si>
  <si>
    <t>๐๗-๐๓๐๔-๐๐๒</t>
  </si>
  <si>
    <t>๒๘-๒-๐๗-๒๑๐๒-๐๐๙</t>
  </si>
  <si>
    <t>๒๘-๒-๐๗-๓๒๐๒-๐๐๒</t>
  </si>
  <si>
    <t>งานวิเคราะห์นโยบายและแผน</t>
  </si>
  <si>
    <t>นางชลาลัย พุฒบรรจง</t>
  </si>
  <si>
    <t>๐๗-๐๒๐๑-๐๐๑</t>
  </si>
  <si>
    <t>๒๘-๒-๐๗-๓๑๐๓-๐๐๑</t>
  </si>
  <si>
    <t>นายสุเทพ เทียมทัด</t>
  </si>
  <si>
    <t>ผู้ช่วยเจ้าหน้าที่วิเคราะห์ฯ</t>
  </si>
  <si>
    <t>นายภัทรวรรธน์ รัศมีสุนทรางกูล</t>
  </si>
  <si>
    <t>๐๗-๐๑๐๒-๐๐๙</t>
  </si>
  <si>
    <t>งานนิติการ</t>
  </si>
  <si>
    <t>๐๗-๐๒๐๒-๐๐๑</t>
  </si>
  <si>
    <t>นิติกร</t>
  </si>
  <si>
    <t>๒๘-๒-๐๗-๓๑๐๕-๐๐๑</t>
  </si>
  <si>
    <t>นางธัญญพัทธ์ เอกพิริยพงศ์</t>
  </si>
  <si>
    <t>๐๗-๐๒๑๒-๐๐๖</t>
  </si>
  <si>
    <t>๒๘-๒-๐๗-๔๑๐๑-๐๐๓</t>
  </si>
  <si>
    <t>นายเกียรติศักดิ์ ตั้งคติธรรม</t>
  </si>
  <si>
    <t>๑๑-๐๑๐๖-๐๐๑</t>
  </si>
  <si>
    <t>ผู้อำนวยการกองสวัสดิการสังคม</t>
  </si>
  <si>
    <t>(นักบริหารงานสวัสดิการสังคม)</t>
  </si>
  <si>
    <t>๒๘-๒-๑๑-๒๑๐๕-๐๐๑</t>
  </si>
  <si>
    <t>ฝ่ายพัฒนาชุมชน</t>
  </si>
  <si>
    <t>นางขันทอง บุษราคำ</t>
  </si>
  <si>
    <t>๑๑-๐๑๐๖-๐๐๓</t>
  </si>
  <si>
    <t>หัวหน้าฝ่ายพัฒนาชุมชน</t>
  </si>
  <si>
    <t>๒๘-๒-๑๑-๒๑๐๕-๐๐๒</t>
  </si>
  <si>
    <t>งานพัฒนาชุมชน</t>
  </si>
  <si>
    <t>น.ส.งามฉวี เกตุคำ</t>
  </si>
  <si>
    <t>๑๑-๐๗๐๔-๐๐๒</t>
  </si>
  <si>
    <t xml:space="preserve">นักพัฒนาชุมชน </t>
  </si>
  <si>
    <t>๒๘-๒-๑๑-๒๑๐๕-๐๐๓</t>
  </si>
  <si>
    <t>๒๘-๒-๑๑-๓๘๐๑-๐๐๑</t>
  </si>
  <si>
    <t>นักพัฒนาชุมชน</t>
  </si>
  <si>
    <t>น.ส.จารุณี อุ่นไทย</t>
  </si>
  <si>
    <t xml:space="preserve"> ผู้ช่วยนักพัฒนาชุมชน</t>
  </si>
  <si>
    <t>นายวรพล ธีราจันทร์</t>
  </si>
  <si>
    <t>ฝ่ายสังคมสงเคราะห์</t>
  </si>
  <si>
    <t>นางปาริชาติ ศรีษะคำ</t>
  </si>
  <si>
    <t>๑๑-๐๑๐๖-๐๐๒</t>
  </si>
  <si>
    <t>หัวหน้าฝายสังคมสงเคราะห์</t>
  </si>
  <si>
    <t>งานสังคมสงเคราะห์</t>
  </si>
  <si>
    <t>งานสวัสดิการเด็กและเยาวชน</t>
  </si>
  <si>
    <t>นางพัชราภรณ์ เครือโชติ</t>
  </si>
  <si>
    <t>๑๑-๐๗๐๔-๐๐๓</t>
  </si>
  <si>
    <t>๒๘-๒-๑๑-๓๘๐๑-๐๐๒</t>
  </si>
  <si>
    <t>๑๑-๐๗๐๔-๐๐๑</t>
  </si>
  <si>
    <t>๒๘-๒-๑๑-๓๘๐๑-๐๐๓</t>
  </si>
  <si>
    <t>นางรานี  ปิไชญาณ</t>
  </si>
  <si>
    <t>๑๑-๐๒๑๒-๐๐๘</t>
  </si>
  <si>
    <t>๒๘-๒-๑๑-๔๑๐๑-๐๐๔</t>
  </si>
  <si>
    <t>กองสวัสดิการสังคม</t>
  </si>
  <si>
    <t>๑๒-๐๓๐๑-๐๐๑</t>
  </si>
  <si>
    <t>เจ้าหน้าที่ตรวจสอบภายใน</t>
  </si>
  <si>
    <t>๒๘-๒-๑๒-๓๒๐๕-๐๐๑</t>
  </si>
  <si>
    <t>นักวิชาการตรวจสอบภายใน</t>
  </si>
  <si>
    <t>หน่วยตรวจสอบภายใน</t>
  </si>
  <si>
    <t>นศ.บ.</t>
  </si>
  <si>
    <t>นางฐิตินันท์  เจริญอาจ</t>
  </si>
  <si>
    <t>ฝ่ายป้องกันและรักษาความสงบ</t>
  </si>
  <si>
    <t>หัวหน้าฝ่ายป้องกันและรักษาความสงบ</t>
  </si>
  <si>
    <t>ป.๔</t>
  </si>
  <si>
    <t>ศ.บ.</t>
  </si>
  <si>
    <t>นางสำอางค์ สินธ์สมุทร</t>
  </si>
  <si>
    <t>นางสาวสุวรรณา  พลายมนต์</t>
  </si>
  <si>
    <t>เจ้าหน้าที่วิเคราะห์นโยบายและแผน</t>
  </si>
  <si>
    <t>ศป.บ.</t>
  </si>
  <si>
    <t>หัวหน้าฝ่ายบริหารการศึกษา</t>
  </si>
  <si>
    <t>กรอบอัตรากำลังใหม่</t>
  </si>
  <si>
    <t>น.ส.กาญจนา  กรานแหยม</t>
  </si>
  <si>
    <t>น.ส.สายสมร  กองเป็ง</t>
  </si>
  <si>
    <t>น.ส.ธัญชนิต  อยู่ใบสี</t>
  </si>
  <si>
    <t>น.ส.สไบทิพย์  ทองทรัพย์ใหญ่</t>
  </si>
  <si>
    <t>น.ส.มัลลิกา  สุขทิพย์คงคา</t>
  </si>
  <si>
    <t>น.ส.จิดาภา  ยิ้มแจ่มใส</t>
  </si>
  <si>
    <t>น.ส.ชิดชนก  นิติกรกุล</t>
  </si>
  <si>
    <t>น.ส.สกุนา  พินทอง</t>
  </si>
  <si>
    <t>น.ส.สุภัคศจี  อยู่อ่อน</t>
  </si>
  <si>
    <t>น.ส.วิยะดา  เนาว์ศรีสอน</t>
  </si>
  <si>
    <t>น.ส.วาสนา  วงศ์บิดา</t>
  </si>
  <si>
    <t>น.ส.สุกัญญา  ดีหมี</t>
  </si>
  <si>
    <t>น.ส.เจนจิรา  แดงมินต์</t>
  </si>
  <si>
    <t>น.ส.นปภัช  รุณวงษ์</t>
  </si>
  <si>
    <t>น.ส.กานต์ธิดา  ปานทอง</t>
  </si>
  <si>
    <t>น.ส.จิราพร  แสงสุรินทร์</t>
  </si>
  <si>
    <t>น.ส.เนตรชนก  ละอองขวัญ</t>
  </si>
  <si>
    <t>น.ส.อารีรัตน์  ตั้งคติธรรม</t>
  </si>
  <si>
    <t>น.ส.กนิษฐา  วาดเขียน</t>
  </si>
  <si>
    <t>น.ส.กษมา อามาตย์คง</t>
  </si>
  <si>
    <t>นักประชาสัมพันธ์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</si>
</sst>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3" formatCode="t&quot;฿&quot;#,##0_);\(t&quot;฿&quot;#,##0\)"/>
  </numFmts>
  <fonts count="30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b/>
      <u/>
      <sz val="16"/>
      <name val="TH Sarabun New"/>
      <family val="2"/>
    </font>
    <font>
      <u/>
      <sz val="16"/>
      <name val="TH Sarabun New"/>
      <family val="2"/>
    </font>
    <font>
      <sz val="16"/>
      <color rgb="FF000000"/>
      <name val="TH Sarabun New"/>
      <family val="2"/>
    </font>
    <font>
      <b/>
      <u/>
      <sz val="16"/>
      <color theme="1"/>
      <name val="TH Sarabun New"/>
      <family val="2"/>
    </font>
    <font>
      <u/>
      <sz val="16"/>
      <color theme="1"/>
      <name val="TH Sarabun New"/>
      <family val="2"/>
    </font>
    <font>
      <sz val="14"/>
      <name val="TH Sarabun New"/>
      <family val="2"/>
    </font>
    <font>
      <sz val="14"/>
      <color rgb="FF000000"/>
      <name val="TH Sarabun New"/>
      <family val="2"/>
    </font>
    <font>
      <sz val="12.5"/>
      <name val="TH Sarabun New"/>
      <family val="2"/>
    </font>
    <font>
      <u/>
      <sz val="14"/>
      <name val="TH Sarabun New"/>
      <family val="2"/>
    </font>
    <font>
      <b/>
      <i/>
      <u/>
      <sz val="14"/>
      <name val="TH Sarabun New"/>
      <family val="2"/>
    </font>
    <font>
      <b/>
      <sz val="14"/>
      <name val="TH Sarabun New"/>
      <family val="2"/>
    </font>
    <font>
      <sz val="13"/>
      <name val="TH Sarabun New"/>
      <family val="2"/>
    </font>
    <font>
      <sz val="14"/>
      <color theme="1"/>
      <name val="TH Sarabun New"/>
      <family val="2"/>
    </font>
    <font>
      <sz val="14"/>
      <color indexed="8"/>
      <name val="TH Sarabun New"/>
      <family val="2"/>
    </font>
    <font>
      <b/>
      <u/>
      <sz val="14"/>
      <name val="TH Sarabun New"/>
      <family val="2"/>
    </font>
    <font>
      <b/>
      <i/>
      <sz val="14"/>
      <name val="TH Sarabun New"/>
      <family val="2"/>
    </font>
    <font>
      <b/>
      <sz val="14"/>
      <color theme="1"/>
      <name val="TH Sarabun New"/>
      <family val="2"/>
    </font>
    <font>
      <b/>
      <u/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3">
    <xf numFmtId="0" fontId="0" fillId="0" borderId="0" xfId="0"/>
    <xf numFmtId="59" fontId="5" fillId="0" borderId="0" xfId="0" applyNumberFormat="1" applyFont="1" applyAlignment="1">
      <alignment shrinkToFit="1"/>
    </xf>
    <xf numFmtId="61" fontId="5" fillId="0" borderId="0" xfId="0" applyNumberFormat="1" applyFont="1" applyAlignment="1">
      <alignment horizontal="center" shrinkToFit="1"/>
    </xf>
    <xf numFmtId="59" fontId="5" fillId="0" borderId="0" xfId="0" applyNumberFormat="1" applyFont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59" fontId="5" fillId="0" borderId="5" xfId="0" applyNumberFormat="1" applyFont="1" applyFill="1" applyBorder="1" applyAlignment="1">
      <alignment horizontal="center" shrinkToFit="1"/>
    </xf>
    <xf numFmtId="59" fontId="5" fillId="0" borderId="0" xfId="0" applyNumberFormat="1" applyFont="1" applyFill="1" applyAlignment="1">
      <alignment shrinkToFit="1"/>
    </xf>
    <xf numFmtId="0" fontId="1" fillId="0" borderId="6" xfId="0" applyFont="1" applyFill="1" applyBorder="1" applyAlignment="1">
      <alignment horizontal="center" shrinkToFit="1"/>
    </xf>
    <xf numFmtId="59" fontId="5" fillId="0" borderId="0" xfId="0" applyNumberFormat="1" applyFont="1" applyAlignment="1">
      <alignment horizontal="left" shrinkToFit="1"/>
    </xf>
    <xf numFmtId="59" fontId="2" fillId="0" borderId="5" xfId="0" applyNumberFormat="1" applyFont="1" applyFill="1" applyBorder="1" applyAlignment="1">
      <alignment horizontal="center" shrinkToFit="1"/>
    </xf>
    <xf numFmtId="59" fontId="5" fillId="0" borderId="6" xfId="0" applyNumberFormat="1" applyFont="1" applyFill="1" applyBorder="1" applyAlignment="1">
      <alignment horizontal="center" shrinkToFit="1"/>
    </xf>
    <xf numFmtId="59" fontId="5" fillId="0" borderId="0" xfId="0" applyNumberFormat="1" applyFont="1" applyFill="1" applyAlignment="1">
      <alignment horizontal="center" shrinkToFit="1"/>
    </xf>
    <xf numFmtId="59" fontId="5" fillId="0" borderId="0" xfId="0" applyNumberFormat="1" applyFont="1" applyFill="1" applyAlignment="1">
      <alignment horizontal="left" shrinkToFit="1"/>
    </xf>
    <xf numFmtId="61" fontId="5" fillId="0" borderId="0" xfId="0" applyNumberFormat="1" applyFont="1" applyFill="1" applyAlignment="1">
      <alignment horizontal="center" shrinkToFit="1"/>
    </xf>
    <xf numFmtId="0" fontId="1" fillId="0" borderId="9" xfId="0" applyFont="1" applyFill="1" applyBorder="1" applyAlignment="1">
      <alignment horizontal="center" shrinkToFit="1"/>
    </xf>
    <xf numFmtId="59" fontId="2" fillId="0" borderId="6" xfId="0" applyNumberFormat="1" applyFont="1" applyFill="1" applyBorder="1" applyAlignment="1">
      <alignment horizontal="center" shrinkToFit="1"/>
    </xf>
    <xf numFmtId="61" fontId="4" fillId="0" borderId="5" xfId="0" applyNumberFormat="1" applyFont="1" applyFill="1" applyBorder="1" applyAlignment="1">
      <alignment horizontal="center" shrinkToFit="1"/>
    </xf>
    <xf numFmtId="61" fontId="4" fillId="0" borderId="6" xfId="0" applyNumberFormat="1" applyFont="1" applyFill="1" applyBorder="1" applyAlignment="1">
      <alignment horizontal="center" shrinkToFit="1"/>
    </xf>
    <xf numFmtId="59" fontId="3" fillId="0" borderId="0" xfId="0" applyNumberFormat="1" applyFont="1" applyFill="1" applyAlignment="1">
      <alignment shrinkToFit="1"/>
    </xf>
    <xf numFmtId="61" fontId="4" fillId="0" borderId="0" xfId="0" applyNumberFormat="1" applyFont="1" applyFill="1" applyAlignment="1">
      <alignment horizontal="center" shrinkToFit="1"/>
    </xf>
    <xf numFmtId="59" fontId="8" fillId="0" borderId="8" xfId="0" applyNumberFormat="1" applyFont="1" applyFill="1" applyBorder="1" applyAlignment="1">
      <alignment horizontal="center" shrinkToFit="1"/>
    </xf>
    <xf numFmtId="59" fontId="7" fillId="0" borderId="8" xfId="0" applyNumberFormat="1" applyFont="1" applyFill="1" applyBorder="1" applyAlignment="1">
      <alignment horizontal="left" vertical="center" shrinkToFit="1"/>
    </xf>
    <xf numFmtId="59" fontId="8" fillId="0" borderId="1" xfId="0" applyNumberFormat="1" applyFont="1" applyFill="1" applyBorder="1" applyAlignment="1">
      <alignment shrinkToFit="1"/>
    </xf>
    <xf numFmtId="61" fontId="9" fillId="0" borderId="14" xfId="0" applyNumberFormat="1" applyFont="1" applyFill="1" applyBorder="1" applyAlignment="1">
      <alignment horizontal="center" shrinkToFit="1"/>
    </xf>
    <xf numFmtId="59" fontId="7" fillId="0" borderId="20" xfId="0" applyNumberFormat="1" applyFont="1" applyFill="1" applyBorder="1" applyAlignment="1">
      <alignment horizontal="center" vertical="center" shrinkToFit="1"/>
    </xf>
    <xf numFmtId="59" fontId="7" fillId="0" borderId="10" xfId="0" applyNumberFormat="1" applyFont="1" applyFill="1" applyBorder="1" applyAlignment="1">
      <alignment horizontal="center" vertical="center" shrinkToFit="1"/>
    </xf>
    <xf numFmtId="61" fontId="7" fillId="0" borderId="1" xfId="0" applyNumberFormat="1" applyFont="1" applyFill="1" applyBorder="1" applyAlignment="1">
      <alignment horizontal="center" vertical="center" shrinkToFit="1"/>
    </xf>
    <xf numFmtId="59" fontId="7" fillId="0" borderId="1" xfId="0" applyNumberFormat="1" applyFont="1" applyFill="1" applyBorder="1" applyAlignment="1">
      <alignment horizontal="center" vertical="center" shrinkToFit="1"/>
    </xf>
    <xf numFmtId="59" fontId="8" fillId="0" borderId="1" xfId="0" applyNumberFormat="1" applyFont="1" applyFill="1" applyBorder="1" applyAlignment="1">
      <alignment horizontal="center" vertical="center" shrinkToFit="1"/>
    </xf>
    <xf numFmtId="61" fontId="7" fillId="0" borderId="19" xfId="0" applyNumberFormat="1" applyFont="1" applyFill="1" applyBorder="1" applyAlignment="1">
      <alignment horizontal="center" vertical="center" shrinkToFit="1"/>
    </xf>
    <xf numFmtId="61" fontId="8" fillId="0" borderId="10" xfId="0" applyNumberFormat="1" applyFont="1" applyFill="1" applyBorder="1" applyAlignment="1">
      <alignment horizontal="center" vertical="center" shrinkToFit="1"/>
    </xf>
    <xf numFmtId="59" fontId="7" fillId="0" borderId="2" xfId="0" applyNumberFormat="1" applyFont="1" applyFill="1" applyBorder="1" applyAlignment="1">
      <alignment horizontal="center" vertical="center" shrinkToFit="1"/>
    </xf>
    <xf numFmtId="59" fontId="8" fillId="0" borderId="12" xfId="0" applyNumberFormat="1" applyFont="1" applyFill="1" applyBorder="1" applyAlignment="1">
      <alignment horizontal="left" shrinkToFit="1"/>
    </xf>
    <xf numFmtId="59" fontId="7" fillId="0" borderId="3" xfId="0" applyNumberFormat="1" applyFont="1" applyFill="1" applyBorder="1" applyAlignment="1">
      <alignment horizontal="center" vertical="center" shrinkToFit="1"/>
    </xf>
    <xf numFmtId="61" fontId="7" fillId="0" borderId="2" xfId="0" applyNumberFormat="1" applyFont="1" applyFill="1" applyBorder="1" applyAlignment="1">
      <alignment horizontal="center" vertical="center" shrinkToFit="1"/>
    </xf>
    <xf numFmtId="59" fontId="8" fillId="0" borderId="2" xfId="0" applyNumberFormat="1" applyFont="1" applyFill="1" applyBorder="1" applyAlignment="1">
      <alignment horizontal="center" vertical="center" shrinkToFit="1"/>
    </xf>
    <xf numFmtId="61" fontId="8" fillId="0" borderId="2" xfId="0" applyNumberFormat="1" applyFont="1" applyFill="1" applyBorder="1" applyAlignment="1">
      <alignment horizontal="center" shrinkToFit="1"/>
    </xf>
    <xf numFmtId="61" fontId="7" fillId="0" borderId="15" xfId="0" applyNumberFormat="1" applyFont="1" applyFill="1" applyBorder="1" applyAlignment="1">
      <alignment horizontal="center" vertical="center" shrinkToFit="1"/>
    </xf>
    <xf numFmtId="61" fontId="8" fillId="0" borderId="2" xfId="0" applyNumberFormat="1" applyFont="1" applyFill="1" applyBorder="1" applyAlignment="1">
      <alignment horizontal="center" vertical="center" shrinkToFit="1"/>
    </xf>
    <xf numFmtId="59" fontId="10" fillId="0" borderId="1" xfId="0" applyNumberFormat="1" applyFont="1" applyFill="1" applyBorder="1" applyAlignment="1">
      <alignment horizontal="center" shrinkToFit="1"/>
    </xf>
    <xf numFmtId="59" fontId="10" fillId="0" borderId="1" xfId="0" applyNumberFormat="1" applyFont="1" applyFill="1" applyBorder="1" applyAlignment="1">
      <alignment shrinkToFit="1"/>
    </xf>
    <xf numFmtId="59" fontId="10" fillId="0" borderId="4" xfId="0" applyNumberFormat="1" applyFont="1" applyFill="1" applyBorder="1" applyAlignment="1">
      <alignment horizontal="center" shrinkToFit="1"/>
    </xf>
    <xf numFmtId="61" fontId="10" fillId="0" borderId="4" xfId="0" applyNumberFormat="1" applyFont="1" applyFill="1" applyBorder="1" applyAlignment="1">
      <alignment horizontal="center" shrinkToFit="1"/>
    </xf>
    <xf numFmtId="59" fontId="9" fillId="0" borderId="4" xfId="0" applyNumberFormat="1" applyFont="1" applyFill="1" applyBorder="1" applyAlignment="1">
      <alignment horizontal="center" shrinkToFit="1"/>
    </xf>
    <xf numFmtId="0" fontId="11" fillId="0" borderId="4" xfId="0" applyFont="1" applyFill="1" applyBorder="1" applyAlignment="1">
      <alignment horizontal="center" shrinkToFit="1"/>
    </xf>
    <xf numFmtId="61" fontId="9" fillId="0" borderId="4" xfId="0" applyNumberFormat="1" applyFont="1" applyFill="1" applyBorder="1" applyAlignment="1">
      <alignment horizontal="center" shrinkToFit="1"/>
    </xf>
    <xf numFmtId="59" fontId="10" fillId="0" borderId="5" xfId="0" applyNumberFormat="1" applyFont="1" applyFill="1" applyBorder="1" applyAlignment="1">
      <alignment horizontal="center" shrinkToFit="1"/>
    </xf>
    <xf numFmtId="59" fontId="10" fillId="0" borderId="5" xfId="0" applyNumberFormat="1" applyFont="1" applyFill="1" applyBorder="1" applyAlignment="1">
      <alignment horizontal="left" shrinkToFit="1"/>
    </xf>
    <xf numFmtId="61" fontId="9" fillId="0" borderId="5" xfId="0" applyNumberFormat="1" applyFont="1" applyFill="1" applyBorder="1" applyAlignment="1">
      <alignment horizontal="center" shrinkToFit="1"/>
    </xf>
    <xf numFmtId="59" fontId="9" fillId="0" borderId="5" xfId="0" applyNumberFormat="1" applyFont="1" applyFill="1" applyBorder="1" applyAlignment="1">
      <alignment horizontal="center" shrinkToFit="1"/>
    </xf>
    <xf numFmtId="0" fontId="11" fillId="0" borderId="5" xfId="0" applyFont="1" applyFill="1" applyBorder="1" applyAlignment="1">
      <alignment horizontal="center" shrinkToFit="1"/>
    </xf>
    <xf numFmtId="59" fontId="9" fillId="0" borderId="5" xfId="0" applyNumberFormat="1" applyFont="1" applyFill="1" applyBorder="1" applyAlignment="1">
      <alignment shrinkToFit="1"/>
    </xf>
    <xf numFmtId="63" fontId="9" fillId="0" borderId="5" xfId="0" applyNumberFormat="1" applyFont="1" applyFill="1" applyBorder="1" applyAlignment="1">
      <alignment horizontal="center" shrinkToFit="1"/>
    </xf>
    <xf numFmtId="61" fontId="11" fillId="0" borderId="5" xfId="0" applyNumberFormat="1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 shrinkToFit="1"/>
    </xf>
    <xf numFmtId="61" fontId="10" fillId="0" borderId="5" xfId="0" applyNumberFormat="1" applyFont="1" applyFill="1" applyBorder="1" applyAlignment="1">
      <alignment horizontal="center" shrinkToFit="1"/>
    </xf>
    <xf numFmtId="0" fontId="10" fillId="0" borderId="5" xfId="1" applyFont="1" applyFill="1" applyBorder="1" applyAlignment="1">
      <alignment horizontal="center" shrinkToFit="1"/>
    </xf>
    <xf numFmtId="59" fontId="12" fillId="0" borderId="5" xfId="0" applyNumberFormat="1" applyFont="1" applyFill="1" applyBorder="1" applyAlignment="1">
      <alignment horizontal="left" shrinkToFit="1"/>
    </xf>
    <xf numFmtId="59" fontId="12" fillId="0" borderId="5" xfId="0" applyNumberFormat="1" applyFont="1" applyFill="1" applyBorder="1" applyAlignment="1">
      <alignment horizontal="center" shrinkToFit="1"/>
    </xf>
    <xf numFmtId="59" fontId="13" fillId="0" borderId="5" xfId="0" applyNumberFormat="1" applyFont="1" applyFill="1" applyBorder="1" applyAlignment="1">
      <alignment horizontal="left" shrinkToFit="1"/>
    </xf>
    <xf numFmtId="59" fontId="13" fillId="0" borderId="5" xfId="0" applyNumberFormat="1" applyFont="1" applyFill="1" applyBorder="1" applyAlignment="1">
      <alignment horizontal="center" shrinkToFit="1"/>
    </xf>
    <xf numFmtId="0" fontId="11" fillId="0" borderId="5" xfId="0" applyFont="1" applyFill="1" applyBorder="1" applyAlignment="1">
      <alignment horizontal="left" shrinkToFit="1"/>
    </xf>
    <xf numFmtId="0" fontId="10" fillId="0" borderId="5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left" shrinkToFit="1"/>
    </xf>
    <xf numFmtId="59" fontId="9" fillId="0" borderId="0" xfId="0" applyNumberFormat="1" applyFont="1" applyFill="1" applyAlignment="1">
      <alignment shrinkToFit="1"/>
    </xf>
    <xf numFmtId="59" fontId="10" fillId="0" borderId="6" xfId="0" applyNumberFormat="1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left" shrinkToFit="1"/>
    </xf>
    <xf numFmtId="0" fontId="10" fillId="0" borderId="6" xfId="0" applyFont="1" applyFill="1" applyBorder="1" applyAlignment="1">
      <alignment horizontal="center" shrinkToFit="1"/>
    </xf>
    <xf numFmtId="59" fontId="9" fillId="0" borderId="6" xfId="0" applyNumberFormat="1" applyFont="1" applyFill="1" applyBorder="1" applyAlignment="1">
      <alignment horizontal="center" shrinkToFit="1"/>
    </xf>
    <xf numFmtId="61" fontId="9" fillId="0" borderId="6" xfId="0" applyNumberFormat="1" applyFont="1" applyFill="1" applyBorder="1" applyAlignment="1">
      <alignment horizontal="center" shrinkToFit="1"/>
    </xf>
    <xf numFmtId="59" fontId="12" fillId="0" borderId="4" xfId="0" applyNumberFormat="1" applyFont="1" applyFill="1" applyBorder="1" applyAlignment="1">
      <alignment horizontal="left" shrinkToFit="1"/>
    </xf>
    <xf numFmtId="59" fontId="9" fillId="0" borderId="4" xfId="0" applyNumberFormat="1" applyFont="1" applyFill="1" applyBorder="1" applyAlignment="1">
      <alignment shrinkToFit="1"/>
    </xf>
    <xf numFmtId="59" fontId="12" fillId="0" borderId="4" xfId="0" applyNumberFormat="1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59" fontId="10" fillId="0" borderId="5" xfId="0" quotePrefix="1" applyNumberFormat="1" applyFont="1" applyFill="1" applyBorder="1" applyAlignment="1">
      <alignment horizontal="center" shrinkToFit="1"/>
    </xf>
    <xf numFmtId="59" fontId="13" fillId="0" borderId="13" xfId="0" applyNumberFormat="1" applyFont="1" applyFill="1" applyBorder="1" applyAlignment="1">
      <alignment shrinkToFit="1"/>
    </xf>
    <xf numFmtId="59" fontId="13" fillId="0" borderId="5" xfId="0" applyNumberFormat="1" applyFont="1" applyFill="1" applyBorder="1" applyAlignment="1">
      <alignment shrinkToFit="1"/>
    </xf>
    <xf numFmtId="61" fontId="9" fillId="0" borderId="5" xfId="0" applyNumberFormat="1" applyFont="1" applyFill="1" applyBorder="1" applyAlignment="1">
      <alignment shrinkToFit="1"/>
    </xf>
    <xf numFmtId="59" fontId="10" fillId="0" borderId="5" xfId="0" applyNumberFormat="1" applyFont="1" applyFill="1" applyBorder="1" applyAlignment="1">
      <alignment shrinkToFit="1"/>
    </xf>
    <xf numFmtId="59" fontId="10" fillId="0" borderId="6" xfId="0" quotePrefix="1" applyNumberFormat="1" applyFont="1" applyFill="1" applyBorder="1" applyAlignment="1">
      <alignment horizontal="center" shrinkToFit="1"/>
    </xf>
    <xf numFmtId="59" fontId="13" fillId="0" borderId="6" xfId="0" applyNumberFormat="1" applyFont="1" applyFill="1" applyBorder="1" applyAlignment="1">
      <alignment horizontal="left" shrinkToFit="1"/>
    </xf>
    <xf numFmtId="61" fontId="10" fillId="0" borderId="6" xfId="0" applyNumberFormat="1" applyFont="1" applyFill="1" applyBorder="1" applyAlignment="1">
      <alignment horizontal="center" shrinkToFit="1"/>
    </xf>
    <xf numFmtId="59" fontId="10" fillId="0" borderId="4" xfId="0" quotePrefix="1" applyNumberFormat="1" applyFont="1" applyFill="1" applyBorder="1" applyAlignment="1">
      <alignment horizontal="center" shrinkToFit="1"/>
    </xf>
    <xf numFmtId="59" fontId="13" fillId="0" borderId="22" xfId="0" applyNumberFormat="1" applyFont="1" applyFill="1" applyBorder="1" applyAlignment="1">
      <alignment shrinkToFit="1"/>
    </xf>
    <xf numFmtId="59" fontId="13" fillId="0" borderId="4" xfId="0" applyNumberFormat="1" applyFont="1" applyFill="1" applyBorder="1" applyAlignment="1">
      <alignment shrinkToFit="1"/>
    </xf>
    <xf numFmtId="59" fontId="10" fillId="0" borderId="5" xfId="0" applyNumberFormat="1" applyFont="1" applyFill="1" applyBorder="1" applyAlignment="1">
      <alignment horizontal="left" shrinkToFit="1" readingOrder="1"/>
    </xf>
    <xf numFmtId="59" fontId="14" fillId="0" borderId="5" xfId="0" applyNumberFormat="1" applyFont="1" applyFill="1" applyBorder="1" applyAlignment="1">
      <alignment horizontal="left" shrinkToFit="1" readingOrder="1"/>
    </xf>
    <xf numFmtId="59" fontId="10" fillId="0" borderId="5" xfId="0" applyNumberFormat="1" applyFont="1" applyFill="1" applyBorder="1" applyAlignment="1">
      <alignment horizontal="center" shrinkToFit="1" readingOrder="1"/>
    </xf>
    <xf numFmtId="59" fontId="10" fillId="0" borderId="6" xfId="0" applyNumberFormat="1" applyFont="1" applyFill="1" applyBorder="1" applyAlignment="1">
      <alignment horizontal="left" shrinkToFit="1"/>
    </xf>
    <xf numFmtId="59" fontId="15" fillId="0" borderId="4" xfId="0" applyNumberFormat="1" applyFont="1" applyFill="1" applyBorder="1" applyAlignment="1">
      <alignment horizontal="left" shrinkToFit="1"/>
    </xf>
    <xf numFmtId="59" fontId="15" fillId="0" borderId="4" xfId="0" applyNumberFormat="1" applyFont="1" applyFill="1" applyBorder="1" applyAlignment="1">
      <alignment shrinkToFit="1"/>
    </xf>
    <xf numFmtId="59" fontId="9" fillId="0" borderId="5" xfId="0" applyNumberFormat="1" applyFont="1" applyFill="1" applyBorder="1" applyAlignment="1">
      <alignment horizontal="center" vertical="center" shrinkToFit="1"/>
    </xf>
    <xf numFmtId="59" fontId="9" fillId="0" borderId="5" xfId="0" applyNumberFormat="1" applyFont="1" applyFill="1" applyBorder="1" applyAlignment="1">
      <alignment horizontal="left" shrinkToFit="1"/>
    </xf>
    <xf numFmtId="59" fontId="16" fillId="0" borderId="5" xfId="0" applyNumberFormat="1" applyFont="1" applyFill="1" applyBorder="1" applyAlignment="1">
      <alignment horizontal="left" shrinkToFit="1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readingOrder="1"/>
    </xf>
    <xf numFmtId="0" fontId="18" fillId="0" borderId="5" xfId="0" applyFont="1" applyFill="1" applyBorder="1" applyAlignment="1">
      <alignment horizontal="left" readingOrder="1"/>
    </xf>
    <xf numFmtId="0" fontId="18" fillId="0" borderId="5" xfId="0" applyFont="1" applyFill="1" applyBorder="1" applyAlignment="1">
      <alignment horizontal="left" shrinkToFit="1" readingOrder="1"/>
    </xf>
    <xf numFmtId="0" fontId="18" fillId="0" borderId="6" xfId="0" applyFont="1" applyFill="1" applyBorder="1" applyAlignment="1">
      <alignment horizontal="left" readingOrder="1"/>
    </xf>
    <xf numFmtId="0" fontId="17" fillId="0" borderId="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 readingOrder="1"/>
    </xf>
    <xf numFmtId="0" fontId="17" fillId="0" borderId="4" xfId="0" applyFont="1" applyFill="1" applyBorder="1" applyAlignment="1">
      <alignment horizontal="center"/>
    </xf>
    <xf numFmtId="59" fontId="9" fillId="0" borderId="6" xfId="0" applyNumberFormat="1" applyFont="1" applyFill="1" applyBorder="1" applyAlignment="1">
      <alignment horizontal="left" shrinkToFit="1"/>
    </xf>
    <xf numFmtId="59" fontId="9" fillId="0" borderId="6" xfId="0" applyNumberFormat="1" applyFont="1" applyFill="1" applyBorder="1" applyAlignment="1">
      <alignment shrinkToFit="1"/>
    </xf>
    <xf numFmtId="59" fontId="9" fillId="0" borderId="0" xfId="0" applyNumberFormat="1" applyFont="1" applyFill="1" applyAlignment="1">
      <alignment horizontal="center" shrinkToFit="1"/>
    </xf>
    <xf numFmtId="59" fontId="9" fillId="0" borderId="0" xfId="0" applyNumberFormat="1" applyFont="1" applyFill="1" applyAlignment="1">
      <alignment horizontal="left" shrinkToFit="1"/>
    </xf>
    <xf numFmtId="61" fontId="9" fillId="0" borderId="0" xfId="0" applyNumberFormat="1" applyFont="1" applyFill="1" applyAlignment="1">
      <alignment horizontal="center" shrinkToFit="1"/>
    </xf>
    <xf numFmtId="59" fontId="8" fillId="0" borderId="8" xfId="0" applyNumberFormat="1" applyFont="1" applyBorder="1" applyAlignment="1">
      <alignment shrinkToFit="1"/>
    </xf>
    <xf numFmtId="59" fontId="7" fillId="0" borderId="8" xfId="0" applyNumberFormat="1" applyFont="1" applyBorder="1" applyAlignment="1">
      <alignment horizontal="left" vertical="center" shrinkToFit="1"/>
    </xf>
    <xf numFmtId="59" fontId="8" fillId="0" borderId="1" xfId="0" applyNumberFormat="1" applyFont="1" applyBorder="1" applyAlignment="1">
      <alignment shrinkToFit="1"/>
    </xf>
    <xf numFmtId="61" fontId="9" fillId="0" borderId="14" xfId="0" applyNumberFormat="1" applyFont="1" applyBorder="1" applyAlignment="1">
      <alignment horizontal="center" shrinkToFit="1"/>
    </xf>
    <xf numFmtId="59" fontId="7" fillId="0" borderId="20" xfId="0" applyNumberFormat="1" applyFont="1" applyBorder="1" applyAlignment="1">
      <alignment horizontal="center" vertical="center" shrinkToFit="1"/>
    </xf>
    <xf numFmtId="59" fontId="7" fillId="0" borderId="10" xfId="0" applyNumberFormat="1" applyFont="1" applyBorder="1" applyAlignment="1">
      <alignment horizontal="center" vertical="center" shrinkToFit="1"/>
    </xf>
    <xf numFmtId="61" fontId="7" fillId="0" borderId="1" xfId="0" applyNumberFormat="1" applyFont="1" applyBorder="1" applyAlignment="1">
      <alignment horizontal="center" vertical="center" shrinkToFit="1"/>
    </xf>
    <xf numFmtId="59" fontId="7" fillId="0" borderId="1" xfId="0" applyNumberFormat="1" applyFont="1" applyBorder="1" applyAlignment="1">
      <alignment horizontal="center" vertical="center" shrinkToFit="1"/>
    </xf>
    <xf numFmtId="59" fontId="8" fillId="0" borderId="1" xfId="0" applyNumberFormat="1" applyFont="1" applyBorder="1" applyAlignment="1">
      <alignment horizontal="center" vertical="center" shrinkToFit="1"/>
    </xf>
    <xf numFmtId="61" fontId="7" fillId="0" borderId="19" xfId="0" applyNumberFormat="1" applyFont="1" applyBorder="1" applyAlignment="1">
      <alignment horizontal="center" vertical="center" shrinkToFit="1"/>
    </xf>
    <xf numFmtId="61" fontId="8" fillId="0" borderId="10" xfId="0" applyNumberFormat="1" applyFont="1" applyBorder="1" applyAlignment="1">
      <alignment horizontal="center" vertical="center" shrinkToFit="1"/>
    </xf>
    <xf numFmtId="59" fontId="7" fillId="0" borderId="2" xfId="0" applyNumberFormat="1" applyFont="1" applyBorder="1" applyAlignment="1">
      <alignment horizontal="center" vertical="center" shrinkToFit="1"/>
    </xf>
    <xf numFmtId="59" fontId="8" fillId="0" borderId="12" xfId="0" applyNumberFormat="1" applyFont="1" applyBorder="1" applyAlignment="1">
      <alignment horizontal="left" shrinkToFit="1"/>
    </xf>
    <xf numFmtId="59" fontId="7" fillId="0" borderId="3" xfId="0" applyNumberFormat="1" applyFont="1" applyBorder="1" applyAlignment="1">
      <alignment horizontal="center" vertical="center" shrinkToFit="1"/>
    </xf>
    <xf numFmtId="61" fontId="7" fillId="0" borderId="2" xfId="0" applyNumberFormat="1" applyFont="1" applyBorder="1" applyAlignment="1">
      <alignment horizontal="center" vertical="center" shrinkToFit="1"/>
    </xf>
    <xf numFmtId="59" fontId="8" fillId="0" borderId="2" xfId="0" applyNumberFormat="1" applyFont="1" applyBorder="1" applyAlignment="1">
      <alignment horizontal="center" vertical="center" shrinkToFit="1"/>
    </xf>
    <xf numFmtId="61" fontId="8" fillId="0" borderId="2" xfId="0" applyNumberFormat="1" applyFont="1" applyBorder="1" applyAlignment="1">
      <alignment horizontal="center" shrinkToFit="1"/>
    </xf>
    <xf numFmtId="61" fontId="7" fillId="0" borderId="15" xfId="0" applyNumberFormat="1" applyFont="1" applyBorder="1" applyAlignment="1">
      <alignment horizontal="center" vertical="center" shrinkToFit="1"/>
    </xf>
    <xf numFmtId="61" fontId="8" fillId="0" borderId="2" xfId="0" applyNumberFormat="1" applyFont="1" applyBorder="1" applyAlignment="1">
      <alignment horizontal="center" vertical="center" shrinkToFit="1"/>
    </xf>
    <xf numFmtId="59" fontId="10" fillId="0" borderId="1" xfId="0" applyNumberFormat="1" applyFont="1" applyBorder="1" applyAlignment="1">
      <alignment horizontal="center" shrinkToFit="1"/>
    </xf>
    <xf numFmtId="59" fontId="10" fillId="0" borderId="1" xfId="0" applyNumberFormat="1" applyFont="1" applyBorder="1" applyAlignment="1">
      <alignment horizontal="left" shrinkToFit="1"/>
    </xf>
    <xf numFmtId="59" fontId="10" fillId="0" borderId="4" xfId="0" applyNumberFormat="1" applyFont="1" applyBorder="1" applyAlignment="1">
      <alignment horizontal="center" shrinkToFit="1"/>
    </xf>
    <xf numFmtId="61" fontId="10" fillId="0" borderId="4" xfId="0" applyNumberFormat="1" applyFont="1" applyBorder="1" applyAlignment="1">
      <alignment horizontal="center" shrinkToFit="1"/>
    </xf>
    <xf numFmtId="59" fontId="9" fillId="0" borderId="4" xfId="0" applyNumberFormat="1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61" fontId="9" fillId="0" borderId="4" xfId="0" applyNumberFormat="1" applyFont="1" applyBorder="1" applyAlignment="1">
      <alignment horizontal="center" shrinkToFit="1"/>
    </xf>
    <xf numFmtId="59" fontId="10" fillId="0" borderId="5" xfId="0" applyNumberFormat="1" applyFont="1" applyBorder="1" applyAlignment="1">
      <alignment horizontal="center" shrinkToFit="1"/>
    </xf>
    <xf numFmtId="59" fontId="10" fillId="0" borderId="5" xfId="0" applyNumberFormat="1" applyFont="1" applyBorder="1" applyAlignment="1">
      <alignment horizontal="left" shrinkToFit="1"/>
    </xf>
    <xf numFmtId="61" fontId="9" fillId="0" borderId="5" xfId="0" applyNumberFormat="1" applyFont="1" applyBorder="1" applyAlignment="1">
      <alignment horizontal="center" shrinkToFit="1"/>
    </xf>
    <xf numFmtId="59" fontId="9" fillId="0" borderId="5" xfId="0" applyNumberFormat="1" applyFont="1" applyBorder="1" applyAlignment="1">
      <alignment horizontal="center" shrinkToFit="1"/>
    </xf>
    <xf numFmtId="59" fontId="12" fillId="0" borderId="5" xfId="0" applyNumberFormat="1" applyFont="1" applyBorder="1" applyAlignment="1">
      <alignment horizontal="left" shrinkToFit="1"/>
    </xf>
    <xf numFmtId="63" fontId="9" fillId="0" borderId="5" xfId="0" applyNumberFormat="1" applyFont="1" applyBorder="1" applyAlignment="1">
      <alignment horizontal="center" shrinkToFit="1"/>
    </xf>
    <xf numFmtId="0" fontId="11" fillId="0" borderId="5" xfId="0" applyFont="1" applyBorder="1" applyAlignment="1">
      <alignment horizontal="center" shrinkToFit="1"/>
    </xf>
    <xf numFmtId="61" fontId="11" fillId="0" borderId="5" xfId="0" applyNumberFormat="1" applyFont="1" applyBorder="1" applyAlignment="1">
      <alignment horizontal="center" shrinkToFit="1"/>
    </xf>
    <xf numFmtId="0" fontId="9" fillId="0" borderId="5" xfId="0" applyFont="1" applyBorder="1" applyAlignment="1">
      <alignment horizontal="center" shrinkToFit="1"/>
    </xf>
    <xf numFmtId="59" fontId="13" fillId="0" borderId="5" xfId="0" applyNumberFormat="1" applyFont="1" applyBorder="1" applyAlignment="1">
      <alignment horizontal="left" shrinkToFit="1"/>
    </xf>
    <xf numFmtId="0" fontId="10" fillId="0" borderId="5" xfId="1" applyFont="1" applyBorder="1" applyAlignment="1">
      <alignment horizontal="center" shrinkToFit="1"/>
    </xf>
    <xf numFmtId="59" fontId="12" fillId="0" borderId="5" xfId="0" applyNumberFormat="1" applyFont="1" applyBorder="1" applyAlignment="1">
      <alignment horizontal="center" shrinkToFit="1"/>
    </xf>
    <xf numFmtId="61" fontId="10" fillId="0" borderId="5" xfId="0" applyNumberFormat="1" applyFont="1" applyBorder="1" applyAlignment="1">
      <alignment horizontal="center" shrinkToFit="1"/>
    </xf>
    <xf numFmtId="59" fontId="10" fillId="0" borderId="6" xfId="0" applyNumberFormat="1" applyFont="1" applyBorder="1" applyAlignment="1">
      <alignment horizontal="center" shrinkToFit="1"/>
    </xf>
    <xf numFmtId="59" fontId="10" fillId="0" borderId="6" xfId="0" applyNumberFormat="1" applyFont="1" applyBorder="1" applyAlignment="1">
      <alignment horizontal="left" shrinkToFit="1"/>
    </xf>
    <xf numFmtId="59" fontId="9" fillId="0" borderId="6" xfId="0" applyNumberFormat="1" applyFont="1" applyBorder="1" applyAlignment="1">
      <alignment horizontal="center" shrinkToFit="1"/>
    </xf>
    <xf numFmtId="61" fontId="9" fillId="0" borderId="6" xfId="0" applyNumberFormat="1" applyFont="1" applyBorder="1" applyAlignment="1">
      <alignment horizontal="center" shrinkToFit="1"/>
    </xf>
    <xf numFmtId="59" fontId="10" fillId="0" borderId="4" xfId="0" applyNumberFormat="1" applyFont="1" applyBorder="1" applyAlignment="1">
      <alignment horizontal="left" shrinkToFit="1"/>
    </xf>
    <xf numFmtId="59" fontId="8" fillId="0" borderId="8" xfId="0" applyNumberFormat="1" applyFont="1" applyFill="1" applyBorder="1" applyAlignment="1">
      <alignment shrinkToFit="1"/>
    </xf>
    <xf numFmtId="59" fontId="10" fillId="0" borderId="1" xfId="0" applyNumberFormat="1" applyFont="1" applyFill="1" applyBorder="1" applyAlignment="1">
      <alignment horizontal="left" shrinkToFit="1"/>
    </xf>
    <xf numFmtId="59" fontId="12" fillId="0" borderId="13" xfId="0" applyNumberFormat="1" applyFont="1" applyFill="1" applyBorder="1" applyAlignment="1">
      <alignment horizontal="left" shrinkToFit="1"/>
    </xf>
    <xf numFmtId="59" fontId="7" fillId="0" borderId="5" xfId="0" applyNumberFormat="1" applyFont="1" applyFill="1" applyBorder="1" applyAlignment="1">
      <alignment horizontal="center" shrinkToFit="1"/>
    </xf>
    <xf numFmtId="0" fontId="17" fillId="0" borderId="6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 shrinkToFit="1"/>
    </xf>
    <xf numFmtId="61" fontId="9" fillId="0" borderId="0" xfId="0" applyNumberFormat="1" applyFont="1" applyFill="1" applyBorder="1" applyAlignment="1">
      <alignment horizontal="center" shrinkToFit="1"/>
    </xf>
    <xf numFmtId="0" fontId="17" fillId="0" borderId="6" xfId="0" applyFont="1" applyFill="1" applyBorder="1" applyAlignment="1">
      <alignment horizontal="left" shrinkToFit="1"/>
    </xf>
    <xf numFmtId="0" fontId="17" fillId="0" borderId="6" xfId="0" applyFont="1" applyFill="1" applyBorder="1" applyAlignment="1">
      <alignment horizontal="center" shrinkToFit="1"/>
    </xf>
    <xf numFmtId="0" fontId="19" fillId="0" borderId="6" xfId="0" applyFont="1" applyFill="1" applyBorder="1" applyAlignment="1">
      <alignment horizontal="center" shrinkToFit="1"/>
    </xf>
    <xf numFmtId="0" fontId="17" fillId="0" borderId="4" xfId="0" applyFont="1" applyFill="1" applyBorder="1" applyAlignment="1">
      <alignment horizontal="left" shrinkToFit="1"/>
    </xf>
    <xf numFmtId="0" fontId="17" fillId="0" borderId="4" xfId="0" applyFont="1" applyFill="1" applyBorder="1" applyAlignment="1">
      <alignment horizontal="center" shrinkToFit="1"/>
    </xf>
    <xf numFmtId="0" fontId="19" fillId="0" borderId="4" xfId="0" applyFont="1" applyFill="1" applyBorder="1" applyAlignment="1">
      <alignment horizontal="center" shrinkToFit="1"/>
    </xf>
    <xf numFmtId="59" fontId="9" fillId="0" borderId="1" xfId="0" applyNumberFormat="1" applyFont="1" applyFill="1" applyBorder="1" applyAlignment="1">
      <alignment horizontal="center" shrinkToFit="1"/>
    </xf>
    <xf numFmtId="61" fontId="9" fillId="0" borderId="1" xfId="0" applyNumberFormat="1" applyFont="1" applyFill="1" applyBorder="1" applyAlignment="1">
      <alignment horizontal="center" shrinkToFit="1"/>
    </xf>
    <xf numFmtId="59" fontId="10" fillId="0" borderId="9" xfId="0" applyNumberFormat="1" applyFont="1" applyFill="1" applyBorder="1" applyAlignment="1">
      <alignment horizontal="center" shrinkToFit="1"/>
    </xf>
    <xf numFmtId="0" fontId="17" fillId="0" borderId="5" xfId="0" applyFont="1" applyFill="1" applyBorder="1" applyAlignment="1">
      <alignment horizontal="center" shrinkToFit="1"/>
    </xf>
    <xf numFmtId="0" fontId="19" fillId="0" borderId="5" xfId="0" applyFont="1" applyFill="1" applyBorder="1" applyAlignment="1">
      <alignment horizontal="center" shrinkToFit="1"/>
    </xf>
    <xf numFmtId="59" fontId="9" fillId="0" borderId="9" xfId="0" applyNumberFormat="1" applyFont="1" applyFill="1" applyBorder="1" applyAlignment="1">
      <alignment horizontal="center" shrinkToFit="1"/>
    </xf>
    <xf numFmtId="61" fontId="9" fillId="0" borderId="9" xfId="0" applyNumberFormat="1" applyFont="1" applyFill="1" applyBorder="1" applyAlignment="1">
      <alignment horizontal="center" shrinkToFit="1"/>
    </xf>
    <xf numFmtId="0" fontId="17" fillId="0" borderId="7" xfId="0" applyFont="1" applyFill="1" applyBorder="1" applyAlignment="1">
      <alignment horizontal="center" shrinkToFit="1"/>
    </xf>
    <xf numFmtId="0" fontId="17" fillId="0" borderId="9" xfId="0" applyFont="1" applyFill="1" applyBorder="1" applyAlignment="1">
      <alignment horizontal="left" shrinkToFit="1"/>
    </xf>
    <xf numFmtId="0" fontId="17" fillId="0" borderId="9" xfId="0" applyFont="1" applyFill="1" applyBorder="1" applyAlignment="1">
      <alignment horizontal="center" shrinkToFit="1"/>
    </xf>
    <xf numFmtId="0" fontId="20" fillId="0" borderId="5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 shrinkToFit="1"/>
    </xf>
    <xf numFmtId="59" fontId="17" fillId="0" borderId="5" xfId="0" applyNumberFormat="1" applyFont="1" applyFill="1" applyBorder="1" applyAlignment="1">
      <alignment horizontal="center" shrinkToFit="1"/>
    </xf>
    <xf numFmtId="0" fontId="21" fillId="0" borderId="4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59" fontId="13" fillId="0" borderId="4" xfId="0" applyNumberFormat="1" applyFont="1" applyFill="1" applyBorder="1" applyAlignment="1">
      <alignment horizontal="center" shrinkToFit="1"/>
    </xf>
    <xf numFmtId="59" fontId="9" fillId="0" borderId="0" xfId="0" quotePrefix="1" applyNumberFormat="1" applyFont="1" applyFill="1" applyAlignment="1">
      <alignment horizontal="center" shrinkToFit="1"/>
    </xf>
    <xf numFmtId="59" fontId="7" fillId="0" borderId="16" xfId="0" applyNumberFormat="1" applyFont="1" applyFill="1" applyBorder="1" applyAlignment="1">
      <alignment horizontal="center" vertical="center" shrinkToFit="1"/>
    </xf>
    <xf numFmtId="59" fontId="7" fillId="0" borderId="18" xfId="0" applyNumberFormat="1" applyFont="1" applyFill="1" applyBorder="1" applyAlignment="1">
      <alignment horizontal="center" vertical="center" shrinkToFit="1"/>
    </xf>
    <xf numFmtId="59" fontId="7" fillId="0" borderId="17" xfId="0" applyNumberFormat="1" applyFont="1" applyFill="1" applyBorder="1" applyAlignment="1">
      <alignment horizontal="center" vertical="center" shrinkToFit="1"/>
    </xf>
    <xf numFmtId="59" fontId="13" fillId="0" borderId="13" xfId="0" applyNumberFormat="1" applyFont="1" applyFill="1" applyBorder="1" applyAlignment="1">
      <alignment horizontal="left" shrinkToFit="1"/>
    </xf>
    <xf numFmtId="59" fontId="13" fillId="0" borderId="11" xfId="0" applyNumberFormat="1" applyFont="1" applyFill="1" applyBorder="1" applyAlignment="1">
      <alignment horizontal="left" shrinkToFit="1"/>
    </xf>
    <xf numFmtId="59" fontId="7" fillId="0" borderId="0" xfId="0" applyNumberFormat="1" applyFont="1" applyFill="1" applyAlignment="1">
      <alignment horizontal="center" shrinkToFit="1"/>
    </xf>
    <xf numFmtId="59" fontId="7" fillId="0" borderId="0" xfId="0" applyNumberFormat="1" applyFont="1" applyFill="1" applyAlignment="1">
      <alignment horizontal="center" vertical="center" shrinkToFit="1"/>
    </xf>
    <xf numFmtId="59" fontId="7" fillId="0" borderId="12" xfId="0" applyNumberFormat="1" applyFont="1" applyFill="1" applyBorder="1" applyAlignment="1">
      <alignment horizontal="center" shrinkToFit="1"/>
    </xf>
    <xf numFmtId="59" fontId="13" fillId="0" borderId="5" xfId="0" applyNumberFormat="1" applyFont="1" applyFill="1" applyBorder="1" applyAlignment="1">
      <alignment horizontal="center" shrinkToFit="1"/>
    </xf>
    <xf numFmtId="59" fontId="13" fillId="0" borderId="13" xfId="0" applyNumberFormat="1" applyFont="1" applyBorder="1" applyAlignment="1">
      <alignment horizontal="left" shrinkToFit="1"/>
    </xf>
    <xf numFmtId="59" fontId="13" fillId="0" borderId="11" xfId="0" applyNumberFormat="1" applyFont="1" applyBorder="1" applyAlignment="1">
      <alignment horizontal="left" shrinkToFit="1"/>
    </xf>
    <xf numFmtId="59" fontId="5" fillId="0" borderId="0" xfId="0" quotePrefix="1" applyNumberFormat="1" applyFont="1" applyAlignment="1">
      <alignment horizontal="center" shrinkToFit="1"/>
    </xf>
    <xf numFmtId="59" fontId="7" fillId="0" borderId="0" xfId="0" applyNumberFormat="1" applyFont="1" applyAlignment="1">
      <alignment horizontal="center" shrinkToFit="1"/>
    </xf>
    <xf numFmtId="59" fontId="7" fillId="0" borderId="0" xfId="0" applyNumberFormat="1" applyFont="1" applyAlignment="1">
      <alignment horizontal="center" vertical="center" shrinkToFit="1"/>
    </xf>
    <xf numFmtId="59" fontId="7" fillId="0" borderId="12" xfId="0" applyNumberFormat="1" applyFont="1" applyBorder="1" applyAlignment="1">
      <alignment horizontal="center" shrinkToFit="1"/>
    </xf>
    <xf numFmtId="59" fontId="7" fillId="0" borderId="16" xfId="0" applyNumberFormat="1" applyFont="1" applyBorder="1" applyAlignment="1">
      <alignment horizontal="center" vertical="center" shrinkToFit="1"/>
    </xf>
    <xf numFmtId="59" fontId="7" fillId="0" borderId="18" xfId="0" applyNumberFormat="1" applyFont="1" applyBorder="1" applyAlignment="1">
      <alignment horizontal="center" vertical="center" shrinkToFit="1"/>
    </xf>
    <xf numFmtId="59" fontId="7" fillId="0" borderId="17" xfId="0" applyNumberFormat="1" applyFont="1" applyBorder="1" applyAlignment="1">
      <alignment horizontal="center" vertical="center" shrinkToFit="1"/>
    </xf>
    <xf numFmtId="59" fontId="12" fillId="0" borderId="13" xfId="0" applyNumberFormat="1" applyFont="1" applyFill="1" applyBorder="1" applyAlignment="1">
      <alignment horizontal="left" shrinkToFit="1"/>
    </xf>
    <xf numFmtId="59" fontId="12" fillId="0" borderId="11" xfId="0" applyNumberFormat="1" applyFont="1" applyFill="1" applyBorder="1" applyAlignment="1">
      <alignment horizontal="left" shrinkToFit="1"/>
    </xf>
    <xf numFmtId="0" fontId="20" fillId="0" borderId="13" xfId="0" applyFont="1" applyFill="1" applyBorder="1" applyAlignment="1">
      <alignment horizontal="left" shrinkToFit="1"/>
    </xf>
    <xf numFmtId="0" fontId="20" fillId="0" borderId="11" xfId="0" applyFont="1" applyFill="1" applyBorder="1" applyAlignment="1">
      <alignment horizontal="left" shrinkToFit="1"/>
    </xf>
    <xf numFmtId="59" fontId="5" fillId="0" borderId="0" xfId="0" quotePrefix="1" applyNumberFormat="1" applyFont="1" applyFill="1" applyAlignment="1">
      <alignment horizontal="center" shrinkToFit="1"/>
    </xf>
    <xf numFmtId="0" fontId="23" fillId="0" borderId="4" xfId="0" applyFont="1" applyFill="1" applyBorder="1" applyAlignment="1">
      <alignment horizontal="center"/>
    </xf>
    <xf numFmtId="59" fontId="17" fillId="0" borderId="4" xfId="0" applyNumberFormat="1" applyFont="1" applyFill="1" applyBorder="1" applyAlignment="1">
      <alignment horizontal="center"/>
    </xf>
    <xf numFmtId="61" fontId="24" fillId="0" borderId="4" xfId="0" applyNumberFormat="1" applyFont="1" applyFill="1" applyBorder="1" applyAlignment="1">
      <alignment horizontal="center" shrinkToFit="1"/>
    </xf>
    <xf numFmtId="61" fontId="24" fillId="0" borderId="5" xfId="0" applyNumberFormat="1" applyFont="1" applyFill="1" applyBorder="1" applyAlignment="1">
      <alignment horizontal="center" shrinkToFit="1"/>
    </xf>
    <xf numFmtId="61" fontId="25" fillId="0" borderId="5" xfId="0" applyNumberFormat="1" applyFont="1" applyFill="1" applyBorder="1" applyAlignment="1">
      <alignment horizontal="center" shrinkToFit="1"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61" fontId="24" fillId="0" borderId="6" xfId="0" applyNumberFormat="1" applyFont="1" applyFill="1" applyBorder="1" applyAlignment="1">
      <alignment horizontal="center" shrinkToFit="1"/>
    </xf>
    <xf numFmtId="0" fontId="26" fillId="0" borderId="5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center" shrinkToFit="1"/>
    </xf>
    <xf numFmtId="61" fontId="17" fillId="0" borderId="5" xfId="0" applyNumberFormat="1" applyFont="1" applyFill="1" applyBorder="1" applyAlignment="1">
      <alignment horizontal="center" shrinkToFit="1"/>
    </xf>
    <xf numFmtId="61" fontId="17" fillId="0" borderId="6" xfId="0" applyNumberFormat="1" applyFont="1" applyFill="1" applyBorder="1" applyAlignment="1">
      <alignment horizontal="center" shrinkToFit="1"/>
    </xf>
    <xf numFmtId="61" fontId="17" fillId="0" borderId="4" xfId="0" applyNumberFormat="1" applyFont="1" applyFill="1" applyBorder="1" applyAlignment="1">
      <alignment horizontal="center" shrinkToFit="1"/>
    </xf>
    <xf numFmtId="0" fontId="26" fillId="0" borderId="4" xfId="0" applyFont="1" applyFill="1" applyBorder="1" applyAlignment="1">
      <alignment horizontal="left" shrinkToFit="1"/>
    </xf>
    <xf numFmtId="0" fontId="20" fillId="0" borderId="5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left" shrinkToFit="1"/>
    </xf>
    <xf numFmtId="0" fontId="27" fillId="0" borderId="5" xfId="0" applyFont="1" applyFill="1" applyBorder="1" applyAlignment="1">
      <alignment horizontal="center" shrinkToFit="1"/>
    </xf>
    <xf numFmtId="0" fontId="27" fillId="0" borderId="6" xfId="0" applyFont="1" applyFill="1" applyBorder="1" applyAlignment="1">
      <alignment horizontal="center" shrinkToFit="1"/>
    </xf>
    <xf numFmtId="0" fontId="23" fillId="0" borderId="4" xfId="0" applyFont="1" applyFill="1" applyBorder="1" applyAlignment="1">
      <alignment horizontal="left" shrinkToFit="1"/>
    </xf>
    <xf numFmtId="59" fontId="2" fillId="0" borderId="9" xfId="0" applyNumberFormat="1" applyFont="1" applyFill="1" applyBorder="1" applyAlignment="1">
      <alignment horizontal="center" shrinkToFit="1"/>
    </xf>
    <xf numFmtId="59" fontId="5" fillId="0" borderId="9" xfId="0" applyNumberFormat="1" applyFont="1" applyFill="1" applyBorder="1" applyAlignment="1">
      <alignment horizontal="center" shrinkToFit="1"/>
    </xf>
    <xf numFmtId="61" fontId="4" fillId="0" borderId="9" xfId="0" applyNumberFormat="1" applyFont="1" applyFill="1" applyBorder="1" applyAlignment="1">
      <alignment horizontal="center" shrinkToFit="1"/>
    </xf>
    <xf numFmtId="0" fontId="10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shrinkToFit="1"/>
    </xf>
    <xf numFmtId="0" fontId="26" fillId="0" borderId="13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59" fontId="9" fillId="0" borderId="0" xfId="0" applyNumberFormat="1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center"/>
    </xf>
    <xf numFmtId="63" fontId="9" fillId="0" borderId="6" xfId="0" applyNumberFormat="1" applyFont="1" applyFill="1" applyBorder="1" applyAlignment="1">
      <alignment horizontal="center" shrinkToFit="1"/>
    </xf>
    <xf numFmtId="59" fontId="17" fillId="0" borderId="6" xfId="0" applyNumberFormat="1" applyFont="1" applyFill="1" applyBorder="1" applyAlignment="1">
      <alignment horizontal="center" shrinkToFit="1"/>
    </xf>
    <xf numFmtId="0" fontId="20" fillId="0" borderId="22" xfId="0" applyFont="1" applyFill="1" applyBorder="1" applyAlignment="1">
      <alignment horizontal="left" shrinkToFit="1"/>
    </xf>
    <xf numFmtId="0" fontId="20" fillId="0" borderId="23" xfId="0" applyFont="1" applyFill="1" applyBorder="1" applyAlignment="1">
      <alignment horizontal="left" shrinkToFit="1"/>
    </xf>
    <xf numFmtId="0" fontId="17" fillId="0" borderId="22" xfId="0" applyFont="1" applyFill="1" applyBorder="1" applyAlignment="1">
      <alignment horizontal="center" shrinkToFit="1"/>
    </xf>
    <xf numFmtId="0" fontId="26" fillId="0" borderId="5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center" shrinkToFit="1"/>
    </xf>
    <xf numFmtId="0" fontId="17" fillId="0" borderId="13" xfId="0" applyFont="1" applyFill="1" applyBorder="1" applyAlignment="1">
      <alignment horizontal="center" shrinkToFit="1"/>
    </xf>
    <xf numFmtId="0" fontId="24" fillId="0" borderId="6" xfId="0" applyFont="1" applyFill="1" applyBorder="1" applyAlignment="1">
      <alignment horizontal="left" shrinkToFit="1"/>
    </xf>
    <xf numFmtId="0" fontId="24" fillId="0" borderId="6" xfId="0" applyFont="1" applyFill="1" applyBorder="1" applyAlignment="1">
      <alignment horizontal="center" shrinkToFit="1"/>
    </xf>
    <xf numFmtId="61" fontId="24" fillId="0" borderId="14" xfId="0" applyNumberFormat="1" applyFont="1" applyFill="1" applyBorder="1" applyAlignment="1">
      <alignment horizontal="center" shrinkToFit="1"/>
    </xf>
    <xf numFmtId="61" fontId="28" fillId="0" borderId="10" xfId="0" applyNumberFormat="1" applyFont="1" applyFill="1" applyBorder="1" applyAlignment="1">
      <alignment horizontal="center" vertical="center" shrinkToFit="1"/>
    </xf>
    <xf numFmtId="59" fontId="8" fillId="0" borderId="0" xfId="0" applyNumberFormat="1" applyFont="1" applyFill="1" applyBorder="1" applyAlignment="1">
      <alignment horizontal="left" shrinkToFit="1"/>
    </xf>
    <xf numFmtId="61" fontId="28" fillId="0" borderId="2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shrinkToFit="1"/>
    </xf>
    <xf numFmtId="59" fontId="12" fillId="0" borderId="13" xfId="0" applyNumberFormat="1" applyFont="1" applyFill="1" applyBorder="1" applyAlignment="1">
      <alignment horizontal="center" shrinkToFit="1"/>
    </xf>
    <xf numFmtId="59" fontId="12" fillId="0" borderId="21" xfId="0" applyNumberFormat="1" applyFont="1" applyFill="1" applyBorder="1" applyAlignment="1">
      <alignment horizontal="center" shrinkToFit="1"/>
    </xf>
    <xf numFmtId="59" fontId="12" fillId="0" borderId="11" xfId="0" applyNumberFormat="1" applyFont="1" applyFill="1" applyBorder="1" applyAlignment="1">
      <alignment horizontal="center" shrinkToFit="1"/>
    </xf>
    <xf numFmtId="59" fontId="9" fillId="0" borderId="0" xfId="0" applyNumberFormat="1" applyFont="1" applyFill="1" applyBorder="1" applyAlignment="1">
      <alignment horizontal="left" shrinkToFit="1"/>
    </xf>
    <xf numFmtId="0" fontId="17" fillId="0" borderId="24" xfId="0" applyFont="1" applyFill="1" applyBorder="1" applyAlignment="1">
      <alignment horizontal="center" shrinkToFit="1"/>
    </xf>
    <xf numFmtId="0" fontId="24" fillId="0" borderId="5" xfId="0" applyFont="1" applyFill="1" applyBorder="1" applyAlignment="1">
      <alignment horizontal="left" shrinkToFit="1"/>
    </xf>
    <xf numFmtId="0" fontId="24" fillId="0" borderId="12" xfId="0" applyFont="1" applyFill="1" applyBorder="1" applyAlignment="1">
      <alignment horizontal="center" shrinkToFit="1"/>
    </xf>
    <xf numFmtId="0" fontId="26" fillId="0" borderId="9" xfId="0" applyFont="1" applyFill="1" applyBorder="1" applyAlignment="1">
      <alignment horizontal="left" shrinkToFit="1"/>
    </xf>
    <xf numFmtId="0" fontId="10" fillId="0" borderId="9" xfId="0" applyFont="1" applyFill="1" applyBorder="1" applyAlignment="1">
      <alignment horizontal="center" shrinkToFit="1"/>
    </xf>
    <xf numFmtId="0" fontId="20" fillId="0" borderId="21" xfId="0" applyFont="1" applyFill="1" applyBorder="1" applyAlignment="1">
      <alignment horizontal="left" shrinkToFit="1"/>
    </xf>
    <xf numFmtId="59" fontId="13" fillId="0" borderId="6" xfId="0" applyNumberFormat="1" applyFont="1" applyFill="1" applyBorder="1" applyAlignment="1">
      <alignment horizontal="center" shrinkToFit="1"/>
    </xf>
    <xf numFmtId="0" fontId="20" fillId="0" borderId="6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horizontal="center" shrinkToFit="1"/>
    </xf>
    <xf numFmtId="59" fontId="16" fillId="0" borderId="6" xfId="0" applyNumberFormat="1" applyFont="1" applyFill="1" applyBorder="1" applyAlignment="1">
      <alignment horizontal="center" shrinkToFit="1"/>
    </xf>
    <xf numFmtId="61" fontId="16" fillId="0" borderId="6" xfId="0" applyNumberFormat="1" applyFont="1" applyFill="1" applyBorder="1" applyAlignment="1">
      <alignment horizontal="center" shrinkToFit="1"/>
    </xf>
    <xf numFmtId="0" fontId="24" fillId="0" borderId="9" xfId="0" applyFont="1" applyFill="1" applyBorder="1" applyAlignment="1">
      <alignment horizontal="left" shrinkToFit="1"/>
    </xf>
    <xf numFmtId="0" fontId="24" fillId="0" borderId="9" xfId="0" applyFont="1" applyFill="1" applyBorder="1" applyAlignment="1">
      <alignment horizontal="center" shrinkToFit="1"/>
    </xf>
    <xf numFmtId="0" fontId="20" fillId="0" borderId="4" xfId="0" applyFont="1" applyFill="1" applyBorder="1" applyAlignment="1">
      <alignment horizontal="left" shrinkToFit="1"/>
    </xf>
    <xf numFmtId="0" fontId="29" fillId="0" borderId="5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/>
    </xf>
    <xf numFmtId="61" fontId="24" fillId="0" borderId="0" xfId="0" applyNumberFormat="1" applyFont="1" applyFill="1" applyAlignment="1">
      <alignment horizontal="center" shrinkToFit="1"/>
    </xf>
    <xf numFmtId="59" fontId="12" fillId="0" borderId="5" xfId="0" applyNumberFormat="1" applyFont="1" applyFill="1" applyBorder="1" applyAlignment="1">
      <alignment shrinkToFit="1"/>
    </xf>
    <xf numFmtId="59" fontId="10" fillId="0" borderId="5" xfId="0" quotePrefix="1" applyNumberFormat="1" applyFont="1" applyFill="1" applyBorder="1" applyAlignment="1">
      <alignment horizontal="left" shrinkToFit="1"/>
    </xf>
    <xf numFmtId="0" fontId="26" fillId="0" borderId="13" xfId="0" applyFont="1" applyFill="1" applyBorder="1" applyAlignment="1">
      <alignment horizontal="left"/>
    </xf>
    <xf numFmtId="0" fontId="26" fillId="0" borderId="5" xfId="0" applyFont="1" applyFill="1" applyBorder="1" applyAlignment="1"/>
    <xf numFmtId="59" fontId="16" fillId="0" borderId="0" xfId="0" applyNumberFormat="1" applyFont="1" applyFill="1" applyBorder="1" applyAlignment="1">
      <alignment horizontal="left" shrinkToFit="1"/>
    </xf>
    <xf numFmtId="0" fontId="17" fillId="0" borderId="7" xfId="0" applyFont="1" applyFill="1" applyBorder="1" applyAlignment="1">
      <alignment horizontal="center"/>
    </xf>
    <xf numFmtId="59" fontId="7" fillId="0" borderId="8" xfId="0" applyNumberFormat="1" applyFont="1" applyBorder="1" applyAlignment="1">
      <alignment horizontal="center" vertical="center" shrinkToFit="1"/>
    </xf>
    <xf numFmtId="59" fontId="8" fillId="0" borderId="0" xfId="0" applyNumberFormat="1" applyFont="1" applyBorder="1" applyAlignment="1">
      <alignment shrinkToFit="1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shrinkToFit="1"/>
    </xf>
    <xf numFmtId="0" fontId="23" fillId="0" borderId="4" xfId="0" applyFont="1" applyBorder="1" applyAlignment="1">
      <alignment horizontal="center"/>
    </xf>
    <xf numFmtId="59" fontId="17" fillId="0" borderId="4" xfId="0" applyNumberFormat="1" applyFont="1" applyBorder="1" applyAlignment="1">
      <alignment horizontal="center" shrinkToFit="1"/>
    </xf>
    <xf numFmtId="61" fontId="24" fillId="0" borderId="4" xfId="0" applyNumberFormat="1" applyFont="1" applyBorder="1" applyAlignment="1">
      <alignment horizontal="center" shrinkToFit="1"/>
    </xf>
    <xf numFmtId="63" fontId="9" fillId="0" borderId="6" xfId="0" applyNumberFormat="1" applyFont="1" applyBorder="1" applyAlignment="1">
      <alignment horizontal="center" shrinkToFit="1"/>
    </xf>
    <xf numFmtId="59" fontId="9" fillId="0" borderId="0" xfId="0" applyNumberFormat="1" applyFont="1" applyAlignment="1">
      <alignment shrinkToFit="1"/>
    </xf>
    <xf numFmtId="61" fontId="9" fillId="0" borderId="0" xfId="0" applyNumberFormat="1" applyFont="1" applyAlignment="1">
      <alignment horizontal="center" shrinkToFit="1"/>
    </xf>
    <xf numFmtId="59" fontId="9" fillId="0" borderId="0" xfId="0" applyNumberFormat="1" applyFont="1" applyAlignment="1">
      <alignment horizont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5100B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4"/>
  <sheetViews>
    <sheetView view="pageBreakPreview" topLeftCell="A52" zoomScale="91" zoomScaleNormal="106" zoomScaleSheetLayoutView="91" workbookViewId="0">
      <selection activeCell="K19" sqref="K19"/>
    </sheetView>
  </sheetViews>
  <sheetFormatPr defaultRowHeight="24"/>
  <cols>
    <col min="1" max="1" width="3.5" style="106" customWidth="1"/>
    <col min="2" max="2" width="16.625" style="107" customWidth="1"/>
    <col min="3" max="3" width="7" style="64" customWidth="1"/>
    <col min="4" max="4" width="9.5" style="108" customWidth="1"/>
    <col min="5" max="5" width="18.125" style="64" customWidth="1"/>
    <col min="6" max="6" width="4.625" style="64" customWidth="1"/>
    <col min="7" max="7" width="15.375" style="64" customWidth="1"/>
    <col min="8" max="8" width="18.625" style="64" customWidth="1"/>
    <col min="9" max="9" width="6" style="64" customWidth="1"/>
    <col min="10" max="10" width="8.125" style="108" customWidth="1"/>
    <col min="11" max="12" width="9" style="108"/>
    <col min="13" max="13" width="8.375" style="108" customWidth="1"/>
    <col min="14" max="16384" width="9" style="64"/>
  </cols>
  <sheetData>
    <row r="1" spans="1:13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>
      <c r="A2" s="195" t="s">
        <v>287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>
      <c r="A3" s="196" t="s">
        <v>13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21.75" customHeight="1">
      <c r="A5" s="20"/>
      <c r="B5" s="21"/>
      <c r="C5" s="22"/>
      <c r="D5" s="190" t="s">
        <v>289</v>
      </c>
      <c r="E5" s="191"/>
      <c r="F5" s="192"/>
      <c r="G5" s="190" t="s">
        <v>637</v>
      </c>
      <c r="H5" s="191"/>
      <c r="I5" s="192"/>
      <c r="J5" s="190" t="s">
        <v>3</v>
      </c>
      <c r="K5" s="191"/>
      <c r="L5" s="192"/>
      <c r="M5" s="23"/>
    </row>
    <row r="6" spans="1:13" ht="20.25" customHeight="1">
      <c r="A6" s="24" t="s">
        <v>73</v>
      </c>
      <c r="B6" s="24" t="s">
        <v>1</v>
      </c>
      <c r="C6" s="25" t="s">
        <v>2</v>
      </c>
      <c r="D6" s="26" t="s">
        <v>306</v>
      </c>
      <c r="E6" s="27" t="s">
        <v>290</v>
      </c>
      <c r="F6" s="27" t="s">
        <v>5</v>
      </c>
      <c r="G6" s="26" t="s">
        <v>4</v>
      </c>
      <c r="H6" s="27" t="s">
        <v>290</v>
      </c>
      <c r="I6" s="28" t="s">
        <v>5</v>
      </c>
      <c r="J6" s="26" t="s">
        <v>3</v>
      </c>
      <c r="K6" s="26" t="s">
        <v>292</v>
      </c>
      <c r="L6" s="29" t="s">
        <v>293</v>
      </c>
      <c r="M6" s="30" t="s">
        <v>295</v>
      </c>
    </row>
    <row r="7" spans="1:13" ht="21.75" customHeight="1">
      <c r="A7" s="31"/>
      <c r="B7" s="32"/>
      <c r="C7" s="33" t="s">
        <v>288</v>
      </c>
      <c r="D7" s="34" t="s">
        <v>290</v>
      </c>
      <c r="E7" s="31"/>
      <c r="F7" s="31"/>
      <c r="G7" s="34"/>
      <c r="H7" s="31"/>
      <c r="I7" s="35"/>
      <c r="J7" s="34"/>
      <c r="K7" s="36" t="s">
        <v>290</v>
      </c>
      <c r="L7" s="37" t="s">
        <v>294</v>
      </c>
      <c r="M7" s="38"/>
    </row>
    <row r="8" spans="1:13">
      <c r="A8" s="39">
        <v>1</v>
      </c>
      <c r="B8" s="40" t="s">
        <v>627</v>
      </c>
      <c r="C8" s="41" t="s">
        <v>6</v>
      </c>
      <c r="D8" s="42" t="s">
        <v>291</v>
      </c>
      <c r="E8" s="41" t="s">
        <v>7</v>
      </c>
      <c r="F8" s="41">
        <v>9</v>
      </c>
      <c r="G8" s="43" t="s">
        <v>301</v>
      </c>
      <c r="H8" s="44" t="s">
        <v>7</v>
      </c>
      <c r="I8" s="44" t="s">
        <v>304</v>
      </c>
      <c r="J8" s="45">
        <f>73880*12</f>
        <v>886560</v>
      </c>
      <c r="K8" s="45">
        <f>10000*12</f>
        <v>120000</v>
      </c>
      <c r="L8" s="45">
        <f>10000*12</f>
        <v>120000</v>
      </c>
      <c r="M8" s="45">
        <f>J8+K8+L8</f>
        <v>1126560</v>
      </c>
    </row>
    <row r="9" spans="1:13">
      <c r="A9" s="46"/>
      <c r="B9" s="47"/>
      <c r="C9" s="46"/>
      <c r="D9" s="48"/>
      <c r="E9" s="46" t="s">
        <v>8</v>
      </c>
      <c r="F9" s="46"/>
      <c r="G9" s="49"/>
      <c r="H9" s="50" t="s">
        <v>322</v>
      </c>
      <c r="I9" s="51"/>
      <c r="J9" s="48"/>
      <c r="K9" s="48"/>
      <c r="L9" s="48"/>
      <c r="M9" s="48"/>
    </row>
    <row r="10" spans="1:13">
      <c r="A10" s="46">
        <v>2</v>
      </c>
      <c r="B10" s="47" t="s">
        <v>9</v>
      </c>
      <c r="C10" s="46" t="s">
        <v>10</v>
      </c>
      <c r="D10" s="52" t="s">
        <v>296</v>
      </c>
      <c r="E10" s="46" t="s">
        <v>11</v>
      </c>
      <c r="F10" s="46">
        <v>8</v>
      </c>
      <c r="G10" s="49" t="s">
        <v>302</v>
      </c>
      <c r="H10" s="50" t="s">
        <v>11</v>
      </c>
      <c r="I10" s="50" t="s">
        <v>305</v>
      </c>
      <c r="J10" s="53">
        <f>34430*12</f>
        <v>413160</v>
      </c>
      <c r="K10" s="48">
        <f>5600*12</f>
        <v>67200</v>
      </c>
      <c r="L10" s="48">
        <f>5600*12</f>
        <v>67200</v>
      </c>
      <c r="M10" s="48">
        <f>L10+K10+J10</f>
        <v>547560</v>
      </c>
    </row>
    <row r="11" spans="1:13">
      <c r="A11" s="46"/>
      <c r="B11" s="47"/>
      <c r="C11" s="46"/>
      <c r="D11" s="52"/>
      <c r="E11" s="46" t="s">
        <v>8</v>
      </c>
      <c r="F11" s="46"/>
      <c r="G11" s="49"/>
      <c r="H11" s="50" t="s">
        <v>322</v>
      </c>
      <c r="I11" s="51"/>
      <c r="J11" s="48"/>
      <c r="K11" s="48"/>
      <c r="L11" s="48"/>
      <c r="M11" s="48"/>
    </row>
    <row r="12" spans="1:13">
      <c r="A12" s="46">
        <v>3</v>
      </c>
      <c r="B12" s="46" t="s">
        <v>12</v>
      </c>
      <c r="C12" s="46" t="s">
        <v>12</v>
      </c>
      <c r="D12" s="52" t="s">
        <v>297</v>
      </c>
      <c r="E12" s="54" t="s">
        <v>11</v>
      </c>
      <c r="F12" s="46">
        <v>7</v>
      </c>
      <c r="G12" s="49" t="s">
        <v>303</v>
      </c>
      <c r="H12" s="50" t="s">
        <v>11</v>
      </c>
      <c r="I12" s="50" t="s">
        <v>300</v>
      </c>
      <c r="J12" s="48" t="s">
        <v>12</v>
      </c>
      <c r="K12" s="48" t="s">
        <v>12</v>
      </c>
      <c r="L12" s="48" t="s">
        <v>12</v>
      </c>
      <c r="M12" s="48" t="s">
        <v>307</v>
      </c>
    </row>
    <row r="13" spans="1:13">
      <c r="A13" s="46"/>
      <c r="B13" s="47"/>
      <c r="C13" s="46"/>
      <c r="D13" s="52"/>
      <c r="E13" s="46" t="s">
        <v>8</v>
      </c>
      <c r="F13" s="46"/>
      <c r="G13" s="49"/>
      <c r="H13" s="50" t="s">
        <v>322</v>
      </c>
      <c r="I13" s="51"/>
      <c r="J13" s="48"/>
      <c r="K13" s="48"/>
      <c r="L13" s="48"/>
      <c r="M13" s="48"/>
    </row>
    <row r="14" spans="1:13">
      <c r="A14" s="46">
        <v>4</v>
      </c>
      <c r="B14" s="47" t="s">
        <v>14</v>
      </c>
      <c r="C14" s="46" t="s">
        <v>15</v>
      </c>
      <c r="D14" s="55" t="s">
        <v>298</v>
      </c>
      <c r="E14" s="46" t="s">
        <v>16</v>
      </c>
      <c r="F14" s="46">
        <v>8</v>
      </c>
      <c r="G14" s="51" t="s">
        <v>308</v>
      </c>
      <c r="H14" s="46" t="s">
        <v>16</v>
      </c>
      <c r="I14" s="49" t="s">
        <v>305</v>
      </c>
      <c r="J14" s="48">
        <f>29510*12</f>
        <v>354120</v>
      </c>
      <c r="K14" s="48">
        <f>5600*12</f>
        <v>67200</v>
      </c>
      <c r="L14" s="48">
        <f>5600*12</f>
        <v>67200</v>
      </c>
      <c r="M14" s="48">
        <f>L14+K14+J14</f>
        <v>488520</v>
      </c>
    </row>
    <row r="15" spans="1:13">
      <c r="A15" s="46"/>
      <c r="B15" s="47"/>
      <c r="C15" s="46"/>
      <c r="D15" s="49"/>
      <c r="E15" s="46" t="s">
        <v>17</v>
      </c>
      <c r="F15" s="46"/>
      <c r="G15" s="56"/>
      <c r="H15" s="46" t="s">
        <v>17</v>
      </c>
      <c r="I15" s="51"/>
      <c r="J15" s="48"/>
      <c r="K15" s="48"/>
      <c r="L15" s="48"/>
      <c r="M15" s="48"/>
    </row>
    <row r="16" spans="1:13">
      <c r="A16" s="46"/>
      <c r="B16" s="57" t="s">
        <v>30</v>
      </c>
      <c r="C16" s="46"/>
      <c r="D16" s="49"/>
      <c r="E16" s="46"/>
      <c r="F16" s="46"/>
      <c r="G16" s="58" t="s">
        <v>30</v>
      </c>
      <c r="H16" s="46"/>
      <c r="I16" s="51"/>
      <c r="J16" s="48"/>
      <c r="K16" s="48"/>
      <c r="L16" s="48"/>
      <c r="M16" s="48"/>
    </row>
    <row r="17" spans="1:13">
      <c r="A17" s="46">
        <v>5</v>
      </c>
      <c r="B17" s="46" t="s">
        <v>12</v>
      </c>
      <c r="C17" s="46" t="s">
        <v>12</v>
      </c>
      <c r="D17" s="55" t="s">
        <v>309</v>
      </c>
      <c r="E17" s="49" t="s">
        <v>31</v>
      </c>
      <c r="F17" s="46">
        <v>7</v>
      </c>
      <c r="G17" s="49" t="s">
        <v>310</v>
      </c>
      <c r="H17" s="50" t="s">
        <v>31</v>
      </c>
      <c r="I17" s="50" t="s">
        <v>300</v>
      </c>
      <c r="J17" s="48" t="s">
        <v>12</v>
      </c>
      <c r="K17" s="48" t="s">
        <v>12</v>
      </c>
      <c r="L17" s="48" t="s">
        <v>12</v>
      </c>
      <c r="M17" s="48" t="s">
        <v>307</v>
      </c>
    </row>
    <row r="18" spans="1:13">
      <c r="A18" s="46"/>
      <c r="B18" s="47"/>
      <c r="C18" s="46"/>
      <c r="D18" s="55"/>
      <c r="E18" s="49" t="s">
        <v>17</v>
      </c>
      <c r="F18" s="46"/>
      <c r="G18" s="49"/>
      <c r="H18" s="46" t="s">
        <v>17</v>
      </c>
      <c r="I18" s="51"/>
      <c r="J18" s="48"/>
      <c r="K18" s="48"/>
      <c r="L18" s="48"/>
      <c r="M18" s="48"/>
    </row>
    <row r="19" spans="1:13">
      <c r="A19" s="46"/>
      <c r="B19" s="59" t="s">
        <v>35</v>
      </c>
      <c r="C19" s="46"/>
      <c r="D19" s="55"/>
      <c r="E19" s="49"/>
      <c r="F19" s="46"/>
      <c r="G19" s="60" t="s">
        <v>35</v>
      </c>
      <c r="H19" s="46"/>
      <c r="I19" s="51"/>
      <c r="J19" s="48"/>
      <c r="K19" s="48"/>
      <c r="L19" s="48"/>
      <c r="M19" s="48"/>
    </row>
    <row r="20" spans="1:13">
      <c r="A20" s="46">
        <v>6</v>
      </c>
      <c r="B20" s="61" t="s">
        <v>311</v>
      </c>
      <c r="C20" s="46" t="s">
        <v>36</v>
      </c>
      <c r="D20" s="62" t="s">
        <v>313</v>
      </c>
      <c r="E20" s="62" t="s">
        <v>38</v>
      </c>
      <c r="F20" s="62" t="s">
        <v>312</v>
      </c>
      <c r="G20" s="49" t="s">
        <v>314</v>
      </c>
      <c r="H20" s="50" t="s">
        <v>315</v>
      </c>
      <c r="I20" s="50" t="s">
        <v>316</v>
      </c>
      <c r="J20" s="53">
        <f>22920*12</f>
        <v>275040</v>
      </c>
      <c r="K20" s="48" t="s">
        <v>12</v>
      </c>
      <c r="L20" s="48" t="s">
        <v>12</v>
      </c>
      <c r="M20" s="48"/>
    </row>
    <row r="21" spans="1:13">
      <c r="A21" s="46">
        <v>7</v>
      </c>
      <c r="B21" s="63" t="s">
        <v>37</v>
      </c>
      <c r="C21" s="62" t="s">
        <v>36</v>
      </c>
      <c r="D21" s="62" t="s">
        <v>317</v>
      </c>
      <c r="E21" s="62" t="s">
        <v>38</v>
      </c>
      <c r="F21" s="46">
        <v>4</v>
      </c>
      <c r="G21" s="49" t="s">
        <v>318</v>
      </c>
      <c r="H21" s="50" t="s">
        <v>315</v>
      </c>
      <c r="I21" s="51" t="s">
        <v>319</v>
      </c>
      <c r="J21" s="48">
        <f>20040*12</f>
        <v>240480</v>
      </c>
      <c r="K21" s="48" t="s">
        <v>12</v>
      </c>
      <c r="L21" s="48" t="s">
        <v>12</v>
      </c>
      <c r="M21" s="48"/>
    </row>
    <row r="22" spans="1:13">
      <c r="A22" s="46">
        <v>8</v>
      </c>
      <c r="B22" s="63" t="s">
        <v>39</v>
      </c>
      <c r="C22" s="62" t="s">
        <v>36</v>
      </c>
      <c r="D22" s="62" t="s">
        <v>12</v>
      </c>
      <c r="E22" s="62" t="s">
        <v>40</v>
      </c>
      <c r="F22" s="46" t="s">
        <v>12</v>
      </c>
      <c r="G22" s="49" t="s">
        <v>12</v>
      </c>
      <c r="H22" s="62" t="s">
        <v>40</v>
      </c>
      <c r="I22" s="49" t="s">
        <v>12</v>
      </c>
      <c r="J22" s="48">
        <f>17830*12</f>
        <v>213960</v>
      </c>
      <c r="K22" s="48" t="s">
        <v>12</v>
      </c>
      <c r="L22" s="48" t="s">
        <v>12</v>
      </c>
      <c r="M22" s="48"/>
    </row>
    <row r="23" spans="1:13">
      <c r="A23" s="65"/>
      <c r="B23" s="66"/>
      <c r="C23" s="67"/>
      <c r="D23" s="67"/>
      <c r="E23" s="67"/>
      <c r="F23" s="65"/>
      <c r="G23" s="68"/>
      <c r="H23" s="67"/>
      <c r="I23" s="68"/>
      <c r="J23" s="69"/>
      <c r="K23" s="69"/>
      <c r="L23" s="69"/>
      <c r="M23" s="69"/>
    </row>
    <row r="24" spans="1:13">
      <c r="A24" s="41"/>
      <c r="B24" s="70" t="s">
        <v>41</v>
      </c>
      <c r="C24" s="41"/>
      <c r="D24" s="42"/>
      <c r="E24" s="71"/>
      <c r="F24" s="41"/>
      <c r="G24" s="72"/>
      <c r="H24" s="71"/>
      <c r="I24" s="71"/>
      <c r="J24" s="45"/>
      <c r="K24" s="45"/>
      <c r="L24" s="45"/>
      <c r="M24" s="45"/>
    </row>
    <row r="25" spans="1:13">
      <c r="A25" s="46">
        <v>9</v>
      </c>
      <c r="B25" s="73" t="s">
        <v>231</v>
      </c>
      <c r="C25" s="74" t="s">
        <v>6</v>
      </c>
      <c r="D25" s="55" t="s">
        <v>320</v>
      </c>
      <c r="E25" s="46" t="s">
        <v>43</v>
      </c>
      <c r="F25" s="46">
        <v>7</v>
      </c>
      <c r="G25" s="49" t="s">
        <v>321</v>
      </c>
      <c r="H25" s="50" t="s">
        <v>299</v>
      </c>
      <c r="I25" s="50" t="s">
        <v>300</v>
      </c>
      <c r="J25" s="53">
        <f>26980*12</f>
        <v>323760</v>
      </c>
      <c r="K25" s="48">
        <f>1500*9</f>
        <v>13500</v>
      </c>
      <c r="L25" s="48" t="s">
        <v>12</v>
      </c>
      <c r="M25" s="48">
        <f>J25+K25</f>
        <v>337260</v>
      </c>
    </row>
    <row r="26" spans="1:13">
      <c r="A26" s="46"/>
      <c r="B26" s="47"/>
      <c r="C26" s="46"/>
      <c r="D26" s="48"/>
      <c r="E26" s="46" t="s">
        <v>17</v>
      </c>
      <c r="F26" s="46"/>
      <c r="G26" s="56"/>
      <c r="H26" s="50" t="s">
        <v>17</v>
      </c>
      <c r="I26" s="51"/>
      <c r="J26" s="48"/>
      <c r="K26" s="48"/>
      <c r="L26" s="48"/>
      <c r="M26" s="48"/>
    </row>
    <row r="27" spans="1:13">
      <c r="A27" s="46"/>
      <c r="B27" s="59" t="s">
        <v>44</v>
      </c>
      <c r="C27" s="46"/>
      <c r="D27" s="55"/>
      <c r="E27" s="51"/>
      <c r="F27" s="46"/>
      <c r="G27" s="60"/>
      <c r="H27" s="51"/>
      <c r="I27" s="51"/>
      <c r="J27" s="48"/>
      <c r="K27" s="48"/>
      <c r="L27" s="48"/>
      <c r="M27" s="48"/>
    </row>
    <row r="28" spans="1:13">
      <c r="A28" s="46">
        <v>10</v>
      </c>
      <c r="B28" s="47" t="s">
        <v>45</v>
      </c>
      <c r="C28" s="46" t="s">
        <v>33</v>
      </c>
      <c r="D28" s="55" t="s">
        <v>325</v>
      </c>
      <c r="E28" s="46" t="s">
        <v>323</v>
      </c>
      <c r="F28" s="46" t="s">
        <v>324</v>
      </c>
      <c r="G28" s="49" t="s">
        <v>327</v>
      </c>
      <c r="H28" s="50" t="s">
        <v>326</v>
      </c>
      <c r="I28" s="50" t="s">
        <v>316</v>
      </c>
      <c r="J28" s="48">
        <f>24970*12</f>
        <v>299640</v>
      </c>
      <c r="K28" s="48" t="s">
        <v>12</v>
      </c>
      <c r="L28" s="48" t="s">
        <v>12</v>
      </c>
      <c r="M28" s="48"/>
    </row>
    <row r="29" spans="1:13">
      <c r="A29" s="75">
        <v>11</v>
      </c>
      <c r="B29" s="47" t="s">
        <v>46</v>
      </c>
      <c r="C29" s="46" t="s">
        <v>47</v>
      </c>
      <c r="D29" s="55" t="s">
        <v>12</v>
      </c>
      <c r="E29" s="46" t="s">
        <v>48</v>
      </c>
      <c r="F29" s="46" t="s">
        <v>20</v>
      </c>
      <c r="G29" s="49" t="s">
        <v>12</v>
      </c>
      <c r="H29" s="46" t="s">
        <v>48</v>
      </c>
      <c r="I29" s="49" t="s">
        <v>12</v>
      </c>
      <c r="J29" s="48">
        <f>15210*12</f>
        <v>182520</v>
      </c>
      <c r="K29" s="48" t="s">
        <v>12</v>
      </c>
      <c r="L29" s="48" t="s">
        <v>12</v>
      </c>
      <c r="M29" s="48"/>
    </row>
    <row r="30" spans="1:13">
      <c r="A30" s="75">
        <v>12</v>
      </c>
      <c r="B30" s="47" t="s">
        <v>49</v>
      </c>
      <c r="C30" s="46" t="s">
        <v>47</v>
      </c>
      <c r="D30" s="55" t="s">
        <v>12</v>
      </c>
      <c r="E30" s="46" t="s">
        <v>48</v>
      </c>
      <c r="F30" s="46" t="s">
        <v>12</v>
      </c>
      <c r="G30" s="49" t="s">
        <v>12</v>
      </c>
      <c r="H30" s="46" t="s">
        <v>48</v>
      </c>
      <c r="I30" s="49" t="s">
        <v>12</v>
      </c>
      <c r="J30" s="48">
        <f>15570*12</f>
        <v>186840</v>
      </c>
      <c r="K30" s="48" t="s">
        <v>12</v>
      </c>
      <c r="L30" s="48" t="s">
        <v>12</v>
      </c>
      <c r="M30" s="48"/>
    </row>
    <row r="31" spans="1:13">
      <c r="A31" s="75">
        <v>13</v>
      </c>
      <c r="B31" s="47" t="s">
        <v>50</v>
      </c>
      <c r="C31" s="46" t="s">
        <v>51</v>
      </c>
      <c r="D31" s="55" t="s">
        <v>12</v>
      </c>
      <c r="E31" s="46" t="s">
        <v>26</v>
      </c>
      <c r="F31" s="46" t="s">
        <v>12</v>
      </c>
      <c r="G31" s="49" t="s">
        <v>12</v>
      </c>
      <c r="H31" s="46" t="s">
        <v>26</v>
      </c>
      <c r="I31" s="49" t="s">
        <v>12</v>
      </c>
      <c r="J31" s="48">
        <f>9000*12</f>
        <v>108000</v>
      </c>
      <c r="K31" s="48" t="s">
        <v>12</v>
      </c>
      <c r="L31" s="48">
        <f>1000*12</f>
        <v>12000</v>
      </c>
      <c r="M31" s="48">
        <f>J31+L31</f>
        <v>120000</v>
      </c>
    </row>
    <row r="32" spans="1:13">
      <c r="A32" s="75">
        <v>14</v>
      </c>
      <c r="B32" s="47" t="s">
        <v>52</v>
      </c>
      <c r="C32" s="46" t="s">
        <v>51</v>
      </c>
      <c r="D32" s="55" t="s">
        <v>12</v>
      </c>
      <c r="E32" s="46" t="s">
        <v>26</v>
      </c>
      <c r="F32" s="46" t="s">
        <v>12</v>
      </c>
      <c r="G32" s="49" t="s">
        <v>12</v>
      </c>
      <c r="H32" s="46" t="s">
        <v>26</v>
      </c>
      <c r="I32" s="49" t="s">
        <v>12</v>
      </c>
      <c r="J32" s="48">
        <f>9000*12</f>
        <v>108000</v>
      </c>
      <c r="K32" s="48" t="s">
        <v>12</v>
      </c>
      <c r="L32" s="48">
        <f>1000*12</f>
        <v>12000</v>
      </c>
      <c r="M32" s="48">
        <f>J32+L32</f>
        <v>120000</v>
      </c>
    </row>
    <row r="33" spans="1:13">
      <c r="A33" s="75"/>
      <c r="B33" s="193" t="s">
        <v>53</v>
      </c>
      <c r="C33" s="194"/>
      <c r="D33" s="55"/>
      <c r="E33" s="46"/>
      <c r="F33" s="46" t="s">
        <v>12</v>
      </c>
      <c r="G33" s="76"/>
      <c r="H33" s="77"/>
      <c r="I33" s="51"/>
      <c r="J33" s="48"/>
      <c r="K33" s="48"/>
      <c r="L33" s="48"/>
      <c r="M33" s="48"/>
    </row>
    <row r="34" spans="1:13">
      <c r="A34" s="75">
        <v>15</v>
      </c>
      <c r="B34" s="47" t="s">
        <v>54</v>
      </c>
      <c r="C34" s="46" t="s">
        <v>6</v>
      </c>
      <c r="D34" s="49" t="s">
        <v>328</v>
      </c>
      <c r="E34" s="46" t="s">
        <v>323</v>
      </c>
      <c r="F34" s="46" t="s">
        <v>12</v>
      </c>
      <c r="G34" s="49" t="s">
        <v>329</v>
      </c>
      <c r="H34" s="50" t="s">
        <v>326</v>
      </c>
      <c r="I34" s="50" t="s">
        <v>316</v>
      </c>
      <c r="J34" s="78">
        <f>26120*12</f>
        <v>313440</v>
      </c>
      <c r="K34" s="48" t="s">
        <v>12</v>
      </c>
      <c r="L34" s="48" t="s">
        <v>12</v>
      </c>
      <c r="M34" s="48"/>
    </row>
    <row r="35" spans="1:13">
      <c r="A35" s="75">
        <v>16</v>
      </c>
      <c r="B35" s="47" t="s">
        <v>55</v>
      </c>
      <c r="C35" s="46" t="s">
        <v>51</v>
      </c>
      <c r="D35" s="55" t="s">
        <v>12</v>
      </c>
      <c r="E35" s="46" t="s">
        <v>56</v>
      </c>
      <c r="F35" s="46" t="s">
        <v>12</v>
      </c>
      <c r="G35" s="55" t="s">
        <v>12</v>
      </c>
      <c r="H35" s="46" t="s">
        <v>56</v>
      </c>
      <c r="I35" s="55" t="s">
        <v>12</v>
      </c>
      <c r="J35" s="48">
        <f>11260*12</f>
        <v>135120</v>
      </c>
      <c r="K35" s="48" t="s">
        <v>12</v>
      </c>
      <c r="L35" s="48">
        <f>2000*12</f>
        <v>24000</v>
      </c>
      <c r="M35" s="48">
        <f t="shared" ref="M35:M36" si="0">J35+L35</f>
        <v>159120</v>
      </c>
    </row>
    <row r="36" spans="1:13">
      <c r="A36" s="75">
        <v>17</v>
      </c>
      <c r="B36" s="47" t="s">
        <v>57</v>
      </c>
      <c r="C36" s="46" t="s">
        <v>47</v>
      </c>
      <c r="D36" s="55" t="s">
        <v>12</v>
      </c>
      <c r="E36" s="46" t="s">
        <v>26</v>
      </c>
      <c r="F36" s="46" t="s">
        <v>12</v>
      </c>
      <c r="G36" s="55" t="s">
        <v>12</v>
      </c>
      <c r="H36" s="46" t="s">
        <v>26</v>
      </c>
      <c r="I36" s="55" t="s">
        <v>12</v>
      </c>
      <c r="J36" s="48">
        <f>9000*12</f>
        <v>108000</v>
      </c>
      <c r="K36" s="48" t="s">
        <v>12</v>
      </c>
      <c r="L36" s="48">
        <f>1000*12</f>
        <v>12000</v>
      </c>
      <c r="M36" s="48">
        <f t="shared" si="0"/>
        <v>120000</v>
      </c>
    </row>
    <row r="37" spans="1:13">
      <c r="A37" s="75"/>
      <c r="B37" s="198" t="s">
        <v>628</v>
      </c>
      <c r="C37" s="198"/>
      <c r="D37" s="55"/>
      <c r="E37" s="79"/>
      <c r="F37" s="46"/>
      <c r="G37" s="76"/>
      <c r="H37" s="77"/>
      <c r="I37" s="55"/>
      <c r="J37" s="48"/>
      <c r="K37" s="48"/>
      <c r="L37" s="48"/>
      <c r="M37" s="48"/>
    </row>
    <row r="38" spans="1:13">
      <c r="A38" s="75">
        <v>18</v>
      </c>
      <c r="B38" s="47" t="s">
        <v>60</v>
      </c>
      <c r="C38" s="46" t="s">
        <v>47</v>
      </c>
      <c r="D38" s="49" t="s">
        <v>330</v>
      </c>
      <c r="E38" s="46" t="s">
        <v>629</v>
      </c>
      <c r="F38" s="46">
        <v>7</v>
      </c>
      <c r="G38" s="49" t="s">
        <v>331</v>
      </c>
      <c r="H38" s="46" t="s">
        <v>629</v>
      </c>
      <c r="I38" s="55" t="s">
        <v>300</v>
      </c>
      <c r="J38" s="48">
        <f>39080*12</f>
        <v>468960</v>
      </c>
      <c r="K38" s="48">
        <f>1500*9</f>
        <v>13500</v>
      </c>
      <c r="L38" s="48" t="s">
        <v>12</v>
      </c>
      <c r="M38" s="48">
        <f>J38+K38</f>
        <v>482460</v>
      </c>
    </row>
    <row r="39" spans="1:13">
      <c r="A39" s="80"/>
      <c r="B39" s="81"/>
      <c r="C39" s="65"/>
      <c r="D39" s="82"/>
      <c r="E39" s="65" t="s">
        <v>17</v>
      </c>
      <c r="F39" s="65"/>
      <c r="G39" s="68"/>
      <c r="H39" s="65" t="s">
        <v>17</v>
      </c>
      <c r="I39" s="82"/>
      <c r="J39" s="69"/>
      <c r="K39" s="69"/>
      <c r="L39" s="69"/>
      <c r="M39" s="69"/>
    </row>
    <row r="40" spans="1:13">
      <c r="A40" s="83"/>
      <c r="B40" s="188" t="s">
        <v>337</v>
      </c>
      <c r="C40" s="188"/>
      <c r="D40" s="42"/>
      <c r="E40" s="41"/>
      <c r="F40" s="41"/>
      <c r="G40" s="84"/>
      <c r="H40" s="85"/>
      <c r="I40" s="42"/>
      <c r="J40" s="45"/>
      <c r="K40" s="45"/>
      <c r="L40" s="45"/>
      <c r="M40" s="45"/>
    </row>
    <row r="41" spans="1:13">
      <c r="A41" s="75">
        <v>19</v>
      </c>
      <c r="B41" s="47" t="s">
        <v>61</v>
      </c>
      <c r="C41" s="46" t="s">
        <v>51</v>
      </c>
      <c r="D41" s="49" t="s">
        <v>332</v>
      </c>
      <c r="E41" s="46" t="s">
        <v>334</v>
      </c>
      <c r="F41" s="46">
        <v>5</v>
      </c>
      <c r="G41" s="49" t="s">
        <v>333</v>
      </c>
      <c r="H41" s="50" t="s">
        <v>336</v>
      </c>
      <c r="I41" s="50" t="s">
        <v>335</v>
      </c>
      <c r="J41" s="48">
        <f>18230*12</f>
        <v>218760</v>
      </c>
      <c r="K41" s="48" t="s">
        <v>12</v>
      </c>
      <c r="L41" s="48" t="s">
        <v>12</v>
      </c>
      <c r="M41" s="48"/>
    </row>
    <row r="42" spans="1:13">
      <c r="A42" s="75">
        <v>20</v>
      </c>
      <c r="B42" s="47" t="s">
        <v>62</v>
      </c>
      <c r="C42" s="46" t="s">
        <v>19</v>
      </c>
      <c r="D42" s="55" t="s">
        <v>20</v>
      </c>
      <c r="E42" s="46" t="s">
        <v>63</v>
      </c>
      <c r="F42" s="46" t="s">
        <v>20</v>
      </c>
      <c r="G42" s="55" t="s">
        <v>12</v>
      </c>
      <c r="H42" s="46" t="s">
        <v>63</v>
      </c>
      <c r="I42" s="55" t="s">
        <v>12</v>
      </c>
      <c r="J42" s="48">
        <f>17270*12</f>
        <v>207240</v>
      </c>
      <c r="K42" s="55" t="s">
        <v>12</v>
      </c>
      <c r="L42" s="55" t="s">
        <v>12</v>
      </c>
      <c r="M42" s="48"/>
    </row>
    <row r="43" spans="1:13">
      <c r="A43" s="75">
        <v>21</v>
      </c>
      <c r="B43" s="47" t="s">
        <v>64</v>
      </c>
      <c r="C43" s="46" t="s">
        <v>22</v>
      </c>
      <c r="D43" s="55" t="s">
        <v>20</v>
      </c>
      <c r="E43" s="46" t="s">
        <v>65</v>
      </c>
      <c r="F43" s="46" t="s">
        <v>20</v>
      </c>
      <c r="G43" s="55" t="s">
        <v>12</v>
      </c>
      <c r="H43" s="46" t="s">
        <v>65</v>
      </c>
      <c r="I43" s="55" t="s">
        <v>12</v>
      </c>
      <c r="J43" s="48">
        <f>16960*12</f>
        <v>203520</v>
      </c>
      <c r="K43" s="55" t="s">
        <v>12</v>
      </c>
      <c r="L43" s="55" t="s">
        <v>12</v>
      </c>
      <c r="M43" s="48"/>
    </row>
    <row r="44" spans="1:13">
      <c r="A44" s="75">
        <v>22</v>
      </c>
      <c r="B44" s="86" t="s">
        <v>66</v>
      </c>
      <c r="C44" s="46" t="s">
        <v>24</v>
      </c>
      <c r="D44" s="55" t="s">
        <v>20</v>
      </c>
      <c r="E44" s="46" t="s">
        <v>63</v>
      </c>
      <c r="F44" s="46" t="s">
        <v>20</v>
      </c>
      <c r="G44" s="55" t="s">
        <v>12</v>
      </c>
      <c r="H44" s="46" t="s">
        <v>63</v>
      </c>
      <c r="I44" s="55" t="s">
        <v>12</v>
      </c>
      <c r="J44" s="48">
        <f>11260*12</f>
        <v>135120</v>
      </c>
      <c r="K44" s="55" t="s">
        <v>12</v>
      </c>
      <c r="L44" s="55">
        <f>2000*12</f>
        <v>24000</v>
      </c>
      <c r="M44" s="48">
        <f>J44+L44</f>
        <v>159120</v>
      </c>
    </row>
    <row r="45" spans="1:13">
      <c r="A45" s="75">
        <v>23</v>
      </c>
      <c r="B45" s="86" t="s">
        <v>67</v>
      </c>
      <c r="C45" s="46" t="s">
        <v>24</v>
      </c>
      <c r="D45" s="55" t="s">
        <v>20</v>
      </c>
      <c r="E45" s="46" t="s">
        <v>65</v>
      </c>
      <c r="F45" s="46" t="s">
        <v>20</v>
      </c>
      <c r="G45" s="55" t="s">
        <v>12</v>
      </c>
      <c r="H45" s="46" t="s">
        <v>65</v>
      </c>
      <c r="I45" s="55" t="s">
        <v>12</v>
      </c>
      <c r="J45" s="48">
        <f>12380*12</f>
        <v>148560</v>
      </c>
      <c r="K45" s="55" t="s">
        <v>12</v>
      </c>
      <c r="L45" s="55">
        <f>905*12</f>
        <v>10860</v>
      </c>
      <c r="M45" s="48">
        <f t="shared" ref="M45:M50" si="1">J45+L45</f>
        <v>159420</v>
      </c>
    </row>
    <row r="46" spans="1:13">
      <c r="A46" s="75">
        <v>24</v>
      </c>
      <c r="B46" s="86" t="s">
        <v>68</v>
      </c>
      <c r="C46" s="46" t="s">
        <v>28</v>
      </c>
      <c r="D46" s="55" t="s">
        <v>20</v>
      </c>
      <c r="E46" s="46" t="s">
        <v>65</v>
      </c>
      <c r="F46" s="46" t="s">
        <v>20</v>
      </c>
      <c r="G46" s="55" t="s">
        <v>12</v>
      </c>
      <c r="H46" s="46" t="s">
        <v>65</v>
      </c>
      <c r="I46" s="55" t="s">
        <v>12</v>
      </c>
      <c r="J46" s="48">
        <f>12030*12</f>
        <v>144360</v>
      </c>
      <c r="K46" s="55" t="s">
        <v>12</v>
      </c>
      <c r="L46" s="55">
        <f>1255*12</f>
        <v>15060</v>
      </c>
      <c r="M46" s="48">
        <f t="shared" si="1"/>
        <v>159420</v>
      </c>
    </row>
    <row r="47" spans="1:13">
      <c r="A47" s="75">
        <v>25</v>
      </c>
      <c r="B47" s="86" t="s">
        <v>69</v>
      </c>
      <c r="C47" s="46" t="s">
        <v>24</v>
      </c>
      <c r="D47" s="55" t="s">
        <v>20</v>
      </c>
      <c r="E47" s="46" t="s">
        <v>65</v>
      </c>
      <c r="F47" s="46" t="s">
        <v>20</v>
      </c>
      <c r="G47" s="55" t="s">
        <v>12</v>
      </c>
      <c r="H47" s="46" t="s">
        <v>65</v>
      </c>
      <c r="I47" s="55" t="s">
        <v>12</v>
      </c>
      <c r="J47" s="48">
        <f>12630*12</f>
        <v>151560</v>
      </c>
      <c r="K47" s="55" t="s">
        <v>12</v>
      </c>
      <c r="L47" s="55">
        <f>655*12</f>
        <v>7860</v>
      </c>
      <c r="M47" s="48">
        <f t="shared" si="1"/>
        <v>159420</v>
      </c>
    </row>
    <row r="48" spans="1:13">
      <c r="A48" s="75">
        <v>26</v>
      </c>
      <c r="B48" s="86" t="s">
        <v>70</v>
      </c>
      <c r="C48" s="46" t="s">
        <v>24</v>
      </c>
      <c r="D48" s="55" t="s">
        <v>20</v>
      </c>
      <c r="E48" s="46" t="s">
        <v>65</v>
      </c>
      <c r="F48" s="46" t="s">
        <v>20</v>
      </c>
      <c r="G48" s="55" t="s">
        <v>12</v>
      </c>
      <c r="H48" s="46" t="s">
        <v>65</v>
      </c>
      <c r="I48" s="55" t="s">
        <v>12</v>
      </c>
      <c r="J48" s="48">
        <f>11150*12</f>
        <v>133800</v>
      </c>
      <c r="K48" s="55" t="s">
        <v>12</v>
      </c>
      <c r="L48" s="55">
        <f>2000*12</f>
        <v>24000</v>
      </c>
      <c r="M48" s="48">
        <f t="shared" si="1"/>
        <v>157800</v>
      </c>
    </row>
    <row r="49" spans="1:13">
      <c r="A49" s="75">
        <v>27</v>
      </c>
      <c r="B49" s="47" t="s">
        <v>71</v>
      </c>
      <c r="C49" s="46" t="s">
        <v>22</v>
      </c>
      <c r="D49" s="55" t="s">
        <v>20</v>
      </c>
      <c r="E49" s="46" t="s">
        <v>26</v>
      </c>
      <c r="F49" s="46" t="s">
        <v>20</v>
      </c>
      <c r="G49" s="55" t="s">
        <v>12</v>
      </c>
      <c r="H49" s="46" t="s">
        <v>26</v>
      </c>
      <c r="I49" s="55" t="s">
        <v>12</v>
      </c>
      <c r="J49" s="48">
        <f>9000*12</f>
        <v>108000</v>
      </c>
      <c r="K49" s="55" t="s">
        <v>12</v>
      </c>
      <c r="L49" s="48">
        <f>1000*12</f>
        <v>12000</v>
      </c>
      <c r="M49" s="48">
        <f t="shared" si="1"/>
        <v>120000</v>
      </c>
    </row>
    <row r="50" spans="1:13">
      <c r="A50" s="75">
        <v>28</v>
      </c>
      <c r="B50" s="87" t="s">
        <v>72</v>
      </c>
      <c r="C50" s="46" t="s">
        <v>28</v>
      </c>
      <c r="D50" s="55" t="s">
        <v>20</v>
      </c>
      <c r="E50" s="46" t="s">
        <v>26</v>
      </c>
      <c r="F50" s="46" t="s">
        <v>20</v>
      </c>
      <c r="G50" s="55" t="s">
        <v>12</v>
      </c>
      <c r="H50" s="46" t="s">
        <v>26</v>
      </c>
      <c r="I50" s="55" t="s">
        <v>12</v>
      </c>
      <c r="J50" s="48">
        <f>9000*12</f>
        <v>108000</v>
      </c>
      <c r="K50" s="55" t="s">
        <v>12</v>
      </c>
      <c r="L50" s="48">
        <f t="shared" ref="L50" si="2">1000*12</f>
        <v>12000</v>
      </c>
      <c r="M50" s="48">
        <f t="shared" si="1"/>
        <v>120000</v>
      </c>
    </row>
    <row r="51" spans="1:13">
      <c r="A51" s="75">
        <v>29</v>
      </c>
      <c r="B51" s="88" t="s">
        <v>12</v>
      </c>
      <c r="C51" s="46" t="s">
        <v>12</v>
      </c>
      <c r="D51" s="55" t="s">
        <v>20</v>
      </c>
      <c r="E51" s="46" t="s">
        <v>26</v>
      </c>
      <c r="F51" s="46" t="s">
        <v>20</v>
      </c>
      <c r="G51" s="55" t="s">
        <v>12</v>
      </c>
      <c r="H51" s="46" t="s">
        <v>26</v>
      </c>
      <c r="I51" s="55" t="s">
        <v>12</v>
      </c>
      <c r="J51" s="55" t="s">
        <v>12</v>
      </c>
      <c r="K51" s="55" t="s">
        <v>12</v>
      </c>
      <c r="L51" s="55" t="s">
        <v>12</v>
      </c>
      <c r="M51" s="48" t="s">
        <v>307</v>
      </c>
    </row>
    <row r="52" spans="1:13">
      <c r="A52" s="75">
        <v>30</v>
      </c>
      <c r="B52" s="88" t="s">
        <v>12</v>
      </c>
      <c r="C52" s="46" t="s">
        <v>12</v>
      </c>
      <c r="D52" s="55" t="s">
        <v>20</v>
      </c>
      <c r="E52" s="46" t="s">
        <v>26</v>
      </c>
      <c r="F52" s="46" t="s">
        <v>20</v>
      </c>
      <c r="G52" s="55" t="s">
        <v>12</v>
      </c>
      <c r="H52" s="46" t="s">
        <v>26</v>
      </c>
      <c r="I52" s="55" t="s">
        <v>12</v>
      </c>
      <c r="J52" s="55" t="s">
        <v>12</v>
      </c>
      <c r="K52" s="55" t="s">
        <v>12</v>
      </c>
      <c r="L52" s="55" t="s">
        <v>12</v>
      </c>
      <c r="M52" s="48" t="s">
        <v>307</v>
      </c>
    </row>
    <row r="53" spans="1:13">
      <c r="A53" s="46"/>
      <c r="B53" s="59" t="s">
        <v>338</v>
      </c>
      <c r="C53" s="46"/>
      <c r="D53" s="55"/>
      <c r="E53" s="51"/>
      <c r="F53" s="46"/>
      <c r="G53" s="60"/>
      <c r="H53" s="51"/>
      <c r="I53" s="51"/>
      <c r="J53" s="48"/>
      <c r="K53" s="48"/>
      <c r="L53" s="48"/>
      <c r="M53" s="48"/>
    </row>
    <row r="54" spans="1:13">
      <c r="A54" s="46">
        <v>31</v>
      </c>
      <c r="B54" s="46" t="s">
        <v>20</v>
      </c>
      <c r="C54" s="46" t="s">
        <v>20</v>
      </c>
      <c r="D54" s="49" t="s">
        <v>339</v>
      </c>
      <c r="E54" s="46" t="s">
        <v>340</v>
      </c>
      <c r="F54" s="46" t="s">
        <v>471</v>
      </c>
      <c r="G54" s="49" t="s">
        <v>343</v>
      </c>
      <c r="H54" s="50" t="s">
        <v>341</v>
      </c>
      <c r="I54" s="50" t="s">
        <v>342</v>
      </c>
      <c r="J54" s="48" t="s">
        <v>12</v>
      </c>
      <c r="K54" s="48" t="s">
        <v>12</v>
      </c>
      <c r="L54" s="48" t="s">
        <v>12</v>
      </c>
      <c r="M54" s="48" t="s">
        <v>307</v>
      </c>
    </row>
    <row r="55" spans="1:13">
      <c r="A55" s="65">
        <v>32</v>
      </c>
      <c r="B55" s="89" t="s">
        <v>58</v>
      </c>
      <c r="C55" s="65" t="s">
        <v>22</v>
      </c>
      <c r="D55" s="82" t="s">
        <v>20</v>
      </c>
      <c r="E55" s="65" t="s">
        <v>59</v>
      </c>
      <c r="F55" s="65" t="s">
        <v>12</v>
      </c>
      <c r="G55" s="68" t="s">
        <v>12</v>
      </c>
      <c r="H55" s="65" t="s">
        <v>59</v>
      </c>
      <c r="I55" s="68" t="s">
        <v>12</v>
      </c>
      <c r="J55" s="69">
        <f>11260*12</f>
        <v>135120</v>
      </c>
      <c r="K55" s="69" t="s">
        <v>12</v>
      </c>
      <c r="L55" s="69">
        <f>2000*12</f>
        <v>24000</v>
      </c>
      <c r="M55" s="69">
        <f>J55+L55</f>
        <v>159120</v>
      </c>
    </row>
    <row r="56" spans="1:13">
      <c r="A56" s="43"/>
      <c r="B56" s="90" t="s">
        <v>32</v>
      </c>
      <c r="C56" s="71"/>
      <c r="D56" s="45"/>
      <c r="E56" s="71"/>
      <c r="F56" s="71"/>
      <c r="G56" s="91"/>
      <c r="H56" s="71"/>
      <c r="I56" s="71"/>
      <c r="J56" s="45"/>
      <c r="K56" s="45"/>
      <c r="L56" s="45"/>
      <c r="M56" s="45"/>
    </row>
    <row r="57" spans="1:13">
      <c r="A57" s="49">
        <v>33</v>
      </c>
      <c r="B57" s="61" t="s">
        <v>344</v>
      </c>
      <c r="C57" s="50" t="s">
        <v>345</v>
      </c>
      <c r="D57" s="48" t="s">
        <v>346</v>
      </c>
      <c r="E57" s="92" t="s">
        <v>34</v>
      </c>
      <c r="F57" s="49">
        <v>7</v>
      </c>
      <c r="G57" s="49" t="s">
        <v>347</v>
      </c>
      <c r="H57" s="92" t="s">
        <v>34</v>
      </c>
      <c r="I57" s="49" t="s">
        <v>300</v>
      </c>
      <c r="J57" s="48">
        <f>25970*12</f>
        <v>311640</v>
      </c>
      <c r="K57" s="48">
        <f>1500*9</f>
        <v>13500</v>
      </c>
      <c r="L57" s="48" t="s">
        <v>12</v>
      </c>
      <c r="M57" s="48">
        <f>J57+K57</f>
        <v>325140</v>
      </c>
    </row>
    <row r="58" spans="1:13">
      <c r="A58" s="49"/>
      <c r="B58" s="93"/>
      <c r="C58" s="51"/>
      <c r="D58" s="74"/>
      <c r="E58" s="92" t="s">
        <v>17</v>
      </c>
      <c r="F58" s="51"/>
      <c r="G58" s="56"/>
      <c r="H58" s="92" t="s">
        <v>17</v>
      </c>
      <c r="I58" s="51"/>
      <c r="J58" s="48"/>
      <c r="K58" s="48"/>
      <c r="L58" s="48"/>
      <c r="M58" s="48"/>
    </row>
    <row r="59" spans="1:13">
      <c r="A59" s="49"/>
      <c r="B59" s="94" t="s">
        <v>18</v>
      </c>
      <c r="C59" s="51"/>
      <c r="D59" s="48"/>
      <c r="E59" s="51"/>
      <c r="F59" s="51"/>
      <c r="G59" s="51"/>
      <c r="H59" s="51"/>
      <c r="I59" s="51"/>
      <c r="J59" s="48"/>
      <c r="K59" s="48"/>
      <c r="L59" s="48"/>
      <c r="M59" s="48"/>
    </row>
    <row r="60" spans="1:13">
      <c r="A60" s="49">
        <v>34</v>
      </c>
      <c r="B60" s="95" t="s">
        <v>348</v>
      </c>
      <c r="C60" s="96" t="s">
        <v>19</v>
      </c>
      <c r="D60" s="96" t="s">
        <v>20</v>
      </c>
      <c r="E60" s="96" t="s">
        <v>21</v>
      </c>
      <c r="F60" s="49" t="s">
        <v>12</v>
      </c>
      <c r="G60" s="49" t="s">
        <v>12</v>
      </c>
      <c r="H60" s="96" t="s">
        <v>21</v>
      </c>
      <c r="I60" s="49" t="s">
        <v>12</v>
      </c>
      <c r="J60" s="48">
        <f>19410*12</f>
        <v>232920</v>
      </c>
      <c r="K60" s="48" t="s">
        <v>12</v>
      </c>
      <c r="L60" s="48" t="s">
        <v>12</v>
      </c>
      <c r="M60" s="48"/>
    </row>
    <row r="61" spans="1:13">
      <c r="A61" s="49">
        <v>35</v>
      </c>
      <c r="B61" s="95" t="s">
        <v>349</v>
      </c>
      <c r="C61" s="96" t="s">
        <v>22</v>
      </c>
      <c r="D61" s="96" t="s">
        <v>12</v>
      </c>
      <c r="E61" s="96" t="s">
        <v>23</v>
      </c>
      <c r="F61" s="49" t="s">
        <v>12</v>
      </c>
      <c r="G61" s="49" t="s">
        <v>12</v>
      </c>
      <c r="H61" s="96" t="s">
        <v>23</v>
      </c>
      <c r="I61" s="49" t="s">
        <v>12</v>
      </c>
      <c r="J61" s="48">
        <f>12030*12</f>
        <v>144360</v>
      </c>
      <c r="K61" s="48" t="s">
        <v>12</v>
      </c>
      <c r="L61" s="48">
        <f>1255*12</f>
        <v>15060</v>
      </c>
      <c r="M61" s="48">
        <f>J61+L61</f>
        <v>159420</v>
      </c>
    </row>
    <row r="62" spans="1:13">
      <c r="A62" s="49">
        <v>36</v>
      </c>
      <c r="B62" s="97" t="s">
        <v>350</v>
      </c>
      <c r="C62" s="96" t="s">
        <v>24</v>
      </c>
      <c r="D62" s="96" t="s">
        <v>12</v>
      </c>
      <c r="E62" s="96" t="s">
        <v>21</v>
      </c>
      <c r="F62" s="49" t="s">
        <v>12</v>
      </c>
      <c r="G62" s="49" t="s">
        <v>12</v>
      </c>
      <c r="H62" s="96" t="s">
        <v>21</v>
      </c>
      <c r="I62" s="49" t="s">
        <v>12</v>
      </c>
      <c r="J62" s="48">
        <f>12750*12</f>
        <v>153000</v>
      </c>
      <c r="K62" s="48" t="s">
        <v>12</v>
      </c>
      <c r="L62" s="48">
        <f>535*12</f>
        <v>6420</v>
      </c>
      <c r="M62" s="48">
        <f t="shared" ref="M62:M72" si="3">J62+L62</f>
        <v>159420</v>
      </c>
    </row>
    <row r="63" spans="1:13">
      <c r="A63" s="49">
        <v>37</v>
      </c>
      <c r="B63" s="97" t="s">
        <v>351</v>
      </c>
      <c r="C63" s="96" t="s">
        <v>19</v>
      </c>
      <c r="D63" s="96" t="s">
        <v>12</v>
      </c>
      <c r="E63" s="96" t="s">
        <v>21</v>
      </c>
      <c r="F63" s="49" t="s">
        <v>12</v>
      </c>
      <c r="G63" s="49" t="s">
        <v>12</v>
      </c>
      <c r="H63" s="96" t="s">
        <v>21</v>
      </c>
      <c r="I63" s="49" t="s">
        <v>12</v>
      </c>
      <c r="J63" s="48">
        <f>10760*12</f>
        <v>129120</v>
      </c>
      <c r="K63" s="48" t="s">
        <v>12</v>
      </c>
      <c r="L63" s="48">
        <f>2000*12</f>
        <v>24000</v>
      </c>
      <c r="M63" s="48">
        <f t="shared" si="3"/>
        <v>153120</v>
      </c>
    </row>
    <row r="64" spans="1:13">
      <c r="A64" s="49">
        <v>38</v>
      </c>
      <c r="B64" s="97" t="s">
        <v>352</v>
      </c>
      <c r="C64" s="96" t="s">
        <v>24</v>
      </c>
      <c r="D64" s="96" t="s">
        <v>12</v>
      </c>
      <c r="E64" s="96" t="s">
        <v>21</v>
      </c>
      <c r="F64" s="49" t="s">
        <v>12</v>
      </c>
      <c r="G64" s="49" t="s">
        <v>12</v>
      </c>
      <c r="H64" s="96" t="s">
        <v>21</v>
      </c>
      <c r="I64" s="49" t="s">
        <v>12</v>
      </c>
      <c r="J64" s="48">
        <f>11920*12</f>
        <v>143040</v>
      </c>
      <c r="K64" s="48" t="s">
        <v>12</v>
      </c>
      <c r="L64" s="48">
        <f>1365*12</f>
        <v>16380</v>
      </c>
      <c r="M64" s="48">
        <f t="shared" si="3"/>
        <v>159420</v>
      </c>
    </row>
    <row r="65" spans="1:13">
      <c r="A65" s="49">
        <v>39</v>
      </c>
      <c r="B65" s="97" t="s">
        <v>353</v>
      </c>
      <c r="C65" s="96" t="s">
        <v>24</v>
      </c>
      <c r="D65" s="96" t="s">
        <v>12</v>
      </c>
      <c r="E65" s="96" t="s">
        <v>21</v>
      </c>
      <c r="F65" s="49" t="s">
        <v>12</v>
      </c>
      <c r="G65" s="49" t="s">
        <v>12</v>
      </c>
      <c r="H65" s="96" t="s">
        <v>21</v>
      </c>
      <c r="I65" s="49" t="s">
        <v>12</v>
      </c>
      <c r="J65" s="48">
        <f>11330*12</f>
        <v>135960</v>
      </c>
      <c r="K65" s="48" t="s">
        <v>12</v>
      </c>
      <c r="L65" s="48">
        <f>1955*12</f>
        <v>23460</v>
      </c>
      <c r="M65" s="48">
        <f t="shared" si="3"/>
        <v>159420</v>
      </c>
    </row>
    <row r="66" spans="1:13">
      <c r="A66" s="49">
        <v>40</v>
      </c>
      <c r="B66" s="98" t="s">
        <v>354</v>
      </c>
      <c r="C66" s="96" t="s">
        <v>25</v>
      </c>
      <c r="D66" s="96" t="s">
        <v>12</v>
      </c>
      <c r="E66" s="96" t="s">
        <v>26</v>
      </c>
      <c r="F66" s="49" t="s">
        <v>12</v>
      </c>
      <c r="G66" s="49" t="s">
        <v>12</v>
      </c>
      <c r="H66" s="96" t="s">
        <v>26</v>
      </c>
      <c r="I66" s="49" t="s">
        <v>12</v>
      </c>
      <c r="J66" s="48">
        <f>9000*12</f>
        <v>108000</v>
      </c>
      <c r="K66" s="48" t="s">
        <v>12</v>
      </c>
      <c r="L66" s="48">
        <f>1000*12</f>
        <v>12000</v>
      </c>
      <c r="M66" s="48">
        <f t="shared" si="3"/>
        <v>120000</v>
      </c>
    </row>
    <row r="67" spans="1:13">
      <c r="A67" s="49">
        <v>41</v>
      </c>
      <c r="B67" s="98" t="s">
        <v>355</v>
      </c>
      <c r="C67" s="96" t="s">
        <v>27</v>
      </c>
      <c r="D67" s="96" t="s">
        <v>12</v>
      </c>
      <c r="E67" s="96" t="s">
        <v>26</v>
      </c>
      <c r="F67" s="49" t="s">
        <v>12</v>
      </c>
      <c r="G67" s="49" t="s">
        <v>12</v>
      </c>
      <c r="H67" s="96" t="s">
        <v>26</v>
      </c>
      <c r="I67" s="49" t="s">
        <v>12</v>
      </c>
      <c r="J67" s="48">
        <f>9000*12</f>
        <v>108000</v>
      </c>
      <c r="K67" s="48" t="s">
        <v>12</v>
      </c>
      <c r="L67" s="48">
        <f t="shared" ref="L67:L72" si="4">1000*12</f>
        <v>12000</v>
      </c>
      <c r="M67" s="48">
        <f t="shared" si="3"/>
        <v>120000</v>
      </c>
    </row>
    <row r="68" spans="1:13">
      <c r="A68" s="49">
        <v>42</v>
      </c>
      <c r="B68" s="99" t="s">
        <v>356</v>
      </c>
      <c r="C68" s="96" t="s">
        <v>24</v>
      </c>
      <c r="D68" s="96" t="s">
        <v>12</v>
      </c>
      <c r="E68" s="96" t="s">
        <v>26</v>
      </c>
      <c r="F68" s="49" t="s">
        <v>12</v>
      </c>
      <c r="G68" s="49" t="s">
        <v>12</v>
      </c>
      <c r="H68" s="96" t="s">
        <v>26</v>
      </c>
      <c r="I68" s="49" t="s">
        <v>12</v>
      </c>
      <c r="J68" s="48">
        <f>9000*12</f>
        <v>108000</v>
      </c>
      <c r="K68" s="48" t="s">
        <v>12</v>
      </c>
      <c r="L68" s="48">
        <f t="shared" si="4"/>
        <v>12000</v>
      </c>
      <c r="M68" s="48">
        <f t="shared" si="3"/>
        <v>120000</v>
      </c>
    </row>
    <row r="69" spans="1:13">
      <c r="A69" s="49">
        <v>43</v>
      </c>
      <c r="B69" s="98" t="s">
        <v>360</v>
      </c>
      <c r="C69" s="96" t="s">
        <v>357</v>
      </c>
      <c r="D69" s="96" t="s">
        <v>12</v>
      </c>
      <c r="E69" s="96" t="s">
        <v>26</v>
      </c>
      <c r="F69" s="49" t="s">
        <v>12</v>
      </c>
      <c r="G69" s="49" t="s">
        <v>12</v>
      </c>
      <c r="H69" s="96" t="s">
        <v>26</v>
      </c>
      <c r="I69" s="49" t="s">
        <v>12</v>
      </c>
      <c r="J69" s="48">
        <f>9000*12</f>
        <v>108000</v>
      </c>
      <c r="K69" s="48" t="s">
        <v>12</v>
      </c>
      <c r="L69" s="48">
        <f t="shared" si="4"/>
        <v>12000</v>
      </c>
      <c r="M69" s="48">
        <f t="shared" si="3"/>
        <v>120000</v>
      </c>
    </row>
    <row r="70" spans="1:13">
      <c r="A70" s="49">
        <v>44</v>
      </c>
      <c r="B70" s="98" t="s">
        <v>358</v>
      </c>
      <c r="C70" s="96" t="s">
        <v>28</v>
      </c>
      <c r="D70" s="96" t="s">
        <v>12</v>
      </c>
      <c r="E70" s="96" t="s">
        <v>26</v>
      </c>
      <c r="F70" s="49" t="s">
        <v>12</v>
      </c>
      <c r="G70" s="49" t="s">
        <v>12</v>
      </c>
      <c r="H70" s="96" t="s">
        <v>26</v>
      </c>
      <c r="I70" s="49" t="s">
        <v>12</v>
      </c>
      <c r="J70" s="48">
        <f>9000*12</f>
        <v>108000</v>
      </c>
      <c r="K70" s="48" t="s">
        <v>12</v>
      </c>
      <c r="L70" s="48">
        <f t="shared" si="4"/>
        <v>12000</v>
      </c>
      <c r="M70" s="48">
        <f t="shared" si="3"/>
        <v>120000</v>
      </c>
    </row>
    <row r="71" spans="1:13">
      <c r="A71" s="68">
        <v>45</v>
      </c>
      <c r="B71" s="100" t="s">
        <v>359</v>
      </c>
      <c r="C71" s="101" t="s">
        <v>29</v>
      </c>
      <c r="D71" s="101" t="s">
        <v>12</v>
      </c>
      <c r="E71" s="101" t="s">
        <v>26</v>
      </c>
      <c r="F71" s="68" t="s">
        <v>12</v>
      </c>
      <c r="G71" s="68" t="s">
        <v>12</v>
      </c>
      <c r="H71" s="101" t="s">
        <v>26</v>
      </c>
      <c r="I71" s="68" t="s">
        <v>12</v>
      </c>
      <c r="J71" s="69">
        <f t="shared" ref="J71:J72" si="5">9000*12</f>
        <v>108000</v>
      </c>
      <c r="K71" s="69" t="s">
        <v>12</v>
      </c>
      <c r="L71" s="69">
        <f t="shared" si="4"/>
        <v>12000</v>
      </c>
      <c r="M71" s="69">
        <f t="shared" si="3"/>
        <v>120000</v>
      </c>
    </row>
    <row r="72" spans="1:13">
      <c r="A72" s="43">
        <v>46</v>
      </c>
      <c r="B72" s="102" t="s">
        <v>361</v>
      </c>
      <c r="C72" s="103" t="s">
        <v>28</v>
      </c>
      <c r="D72" s="103" t="s">
        <v>12</v>
      </c>
      <c r="E72" s="103" t="s">
        <v>26</v>
      </c>
      <c r="F72" s="43" t="s">
        <v>12</v>
      </c>
      <c r="G72" s="43" t="s">
        <v>12</v>
      </c>
      <c r="H72" s="103" t="s">
        <v>26</v>
      </c>
      <c r="I72" s="43" t="s">
        <v>12</v>
      </c>
      <c r="J72" s="45">
        <f t="shared" si="5"/>
        <v>108000</v>
      </c>
      <c r="K72" s="45" t="s">
        <v>12</v>
      </c>
      <c r="L72" s="45">
        <f t="shared" si="4"/>
        <v>12000</v>
      </c>
      <c r="M72" s="45">
        <f t="shared" si="3"/>
        <v>120000</v>
      </c>
    </row>
    <row r="73" spans="1:13">
      <c r="A73" s="49"/>
      <c r="B73" s="94" t="s">
        <v>362</v>
      </c>
      <c r="C73" s="51"/>
      <c r="D73" s="48"/>
      <c r="E73" s="51"/>
      <c r="F73" s="51"/>
      <c r="G73" s="51"/>
      <c r="H73" s="51"/>
      <c r="I73" s="51"/>
      <c r="J73" s="48"/>
      <c r="K73" s="48"/>
      <c r="L73" s="48"/>
      <c r="M73" s="48"/>
    </row>
    <row r="74" spans="1:13">
      <c r="A74" s="68"/>
      <c r="B74" s="104"/>
      <c r="C74" s="105"/>
      <c r="D74" s="69"/>
      <c r="E74" s="105"/>
      <c r="F74" s="105"/>
      <c r="G74" s="105"/>
      <c r="H74" s="105"/>
      <c r="I74" s="105"/>
      <c r="J74" s="69"/>
      <c r="K74" s="69"/>
      <c r="L74" s="69"/>
      <c r="M74" s="69"/>
    </row>
  </sheetData>
  <mergeCells count="10">
    <mergeCell ref="B40:C40"/>
    <mergeCell ref="A1:M1"/>
    <mergeCell ref="J5:L5"/>
    <mergeCell ref="G5:I5"/>
    <mergeCell ref="D5:F5"/>
    <mergeCell ref="B33:C33"/>
    <mergeCell ref="A2:M2"/>
    <mergeCell ref="A3:M3"/>
    <mergeCell ref="A4:M4"/>
    <mergeCell ref="B37:C37"/>
  </mergeCells>
  <pageMargins left="0.15748031496062992" right="0.15748031496062992" top="0.21" bottom="0.23622047244094491" header="0.17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9"/>
  <sheetViews>
    <sheetView view="pageBreakPreview" topLeftCell="A25" zoomScale="91" zoomScaleNormal="106" zoomScaleSheetLayoutView="91" workbookViewId="0">
      <selection activeCell="G11" sqref="G11"/>
    </sheetView>
  </sheetViews>
  <sheetFormatPr defaultRowHeight="20.25"/>
  <cols>
    <col min="1" max="1" width="3.5" style="1" customWidth="1"/>
    <col min="2" max="2" width="16.625" style="8" customWidth="1"/>
    <col min="3" max="3" width="7" style="1" customWidth="1"/>
    <col min="4" max="4" width="9.5" style="2" customWidth="1"/>
    <col min="5" max="5" width="18.125" style="1" customWidth="1"/>
    <col min="6" max="6" width="4.625" style="1" customWidth="1"/>
    <col min="7" max="7" width="15.375" style="1" customWidth="1"/>
    <col min="8" max="8" width="18.625" style="1" customWidth="1"/>
    <col min="9" max="9" width="6" style="3" customWidth="1"/>
    <col min="10" max="10" width="8.125" style="2" customWidth="1"/>
    <col min="11" max="12" width="9" style="2"/>
    <col min="13" max="13" width="8.375" style="2" customWidth="1"/>
    <col min="14" max="16384" width="9" style="1"/>
  </cols>
  <sheetData>
    <row r="1" spans="1:13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24">
      <c r="A2" s="202" t="s">
        <v>287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24">
      <c r="A3" s="203" t="s">
        <v>74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24">
      <c r="A4" s="204" t="s">
        <v>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21.75" customHeight="1">
      <c r="A5" s="109"/>
      <c r="B5" s="110"/>
      <c r="C5" s="111"/>
      <c r="D5" s="205" t="s">
        <v>289</v>
      </c>
      <c r="E5" s="206"/>
      <c r="F5" s="207"/>
      <c r="G5" s="190" t="s">
        <v>637</v>
      </c>
      <c r="H5" s="191"/>
      <c r="I5" s="192"/>
      <c r="J5" s="205" t="s">
        <v>3</v>
      </c>
      <c r="K5" s="206"/>
      <c r="L5" s="207"/>
      <c r="M5" s="112"/>
    </row>
    <row r="6" spans="1:13" ht="20.25" customHeight="1">
      <c r="A6" s="113" t="s">
        <v>73</v>
      </c>
      <c r="B6" s="113" t="s">
        <v>1</v>
      </c>
      <c r="C6" s="114" t="s">
        <v>2</v>
      </c>
      <c r="D6" s="115" t="s">
        <v>306</v>
      </c>
      <c r="E6" s="116" t="s">
        <v>290</v>
      </c>
      <c r="F6" s="116" t="s">
        <v>5</v>
      </c>
      <c r="G6" s="115" t="s">
        <v>4</v>
      </c>
      <c r="H6" s="116" t="s">
        <v>290</v>
      </c>
      <c r="I6" s="117" t="s">
        <v>5</v>
      </c>
      <c r="J6" s="115" t="s">
        <v>3</v>
      </c>
      <c r="K6" s="115" t="s">
        <v>292</v>
      </c>
      <c r="L6" s="118" t="s">
        <v>293</v>
      </c>
      <c r="M6" s="119" t="s">
        <v>295</v>
      </c>
    </row>
    <row r="7" spans="1:13" ht="21.75" customHeight="1">
      <c r="A7" s="120"/>
      <c r="B7" s="121"/>
      <c r="C7" s="122" t="s">
        <v>288</v>
      </c>
      <c r="D7" s="123" t="s">
        <v>290</v>
      </c>
      <c r="E7" s="120"/>
      <c r="F7" s="120"/>
      <c r="G7" s="123"/>
      <c r="H7" s="120"/>
      <c r="I7" s="124"/>
      <c r="J7" s="123"/>
      <c r="K7" s="125" t="s">
        <v>290</v>
      </c>
      <c r="L7" s="126" t="s">
        <v>294</v>
      </c>
      <c r="M7" s="127"/>
    </row>
    <row r="8" spans="1:13" ht="24">
      <c r="A8" s="128">
        <v>1</v>
      </c>
      <c r="B8" s="129" t="s">
        <v>363</v>
      </c>
      <c r="C8" s="130" t="s">
        <v>33</v>
      </c>
      <c r="D8" s="131" t="s">
        <v>364</v>
      </c>
      <c r="E8" s="130" t="s">
        <v>80</v>
      </c>
      <c r="F8" s="130">
        <v>8</v>
      </c>
      <c r="G8" s="132" t="s">
        <v>366</v>
      </c>
      <c r="H8" s="130" t="s">
        <v>80</v>
      </c>
      <c r="I8" s="133" t="s">
        <v>305</v>
      </c>
      <c r="J8" s="134">
        <f>39190*12</f>
        <v>470280</v>
      </c>
      <c r="K8" s="134">
        <f>5600*12</f>
        <v>67200</v>
      </c>
      <c r="L8" s="134">
        <f>5600*12</f>
        <v>67200</v>
      </c>
      <c r="M8" s="134">
        <f>SUM(J8:L8)</f>
        <v>604680</v>
      </c>
    </row>
    <row r="9" spans="1:13" ht="24">
      <c r="A9" s="135"/>
      <c r="B9" s="136"/>
      <c r="C9" s="135"/>
      <c r="D9" s="137"/>
      <c r="E9" s="135" t="s">
        <v>365</v>
      </c>
      <c r="F9" s="135"/>
      <c r="G9" s="138"/>
      <c r="H9" s="135" t="s">
        <v>365</v>
      </c>
      <c r="I9" s="138"/>
      <c r="J9" s="137"/>
      <c r="K9" s="137"/>
      <c r="L9" s="137"/>
      <c r="M9" s="137"/>
    </row>
    <row r="10" spans="1:13" ht="24">
      <c r="A10" s="135"/>
      <c r="B10" s="139" t="s">
        <v>75</v>
      </c>
      <c r="C10" s="135"/>
      <c r="D10" s="140"/>
      <c r="E10" s="135"/>
      <c r="F10" s="135"/>
      <c r="G10" s="138"/>
      <c r="H10" s="141"/>
      <c r="I10" s="141"/>
      <c r="J10" s="142"/>
      <c r="K10" s="137"/>
      <c r="L10" s="137"/>
      <c r="M10" s="137"/>
    </row>
    <row r="11" spans="1:13" ht="24">
      <c r="A11" s="135">
        <v>2</v>
      </c>
      <c r="B11" s="135" t="s">
        <v>12</v>
      </c>
      <c r="C11" s="135" t="s">
        <v>12</v>
      </c>
      <c r="D11" s="140" t="s">
        <v>367</v>
      </c>
      <c r="E11" s="135" t="s">
        <v>368</v>
      </c>
      <c r="F11" s="135">
        <v>7</v>
      </c>
      <c r="G11" s="138" t="s">
        <v>370</v>
      </c>
      <c r="H11" s="135" t="s">
        <v>368</v>
      </c>
      <c r="I11" s="138" t="s">
        <v>300</v>
      </c>
      <c r="J11" s="137" t="s">
        <v>12</v>
      </c>
      <c r="K11" s="137" t="s">
        <v>12</v>
      </c>
      <c r="L11" s="137" t="s">
        <v>12</v>
      </c>
      <c r="M11" s="137" t="s">
        <v>307</v>
      </c>
    </row>
    <row r="12" spans="1:13" ht="24">
      <c r="A12" s="135"/>
      <c r="B12" s="136"/>
      <c r="C12" s="135"/>
      <c r="D12" s="140"/>
      <c r="E12" s="143" t="s">
        <v>365</v>
      </c>
      <c r="F12" s="135"/>
      <c r="G12" s="138"/>
      <c r="H12" s="143" t="s">
        <v>365</v>
      </c>
      <c r="I12" s="141"/>
      <c r="J12" s="137"/>
      <c r="K12" s="137"/>
      <c r="L12" s="137"/>
      <c r="M12" s="137"/>
    </row>
    <row r="13" spans="1:13" ht="24">
      <c r="A13" s="135"/>
      <c r="B13" s="144" t="s">
        <v>76</v>
      </c>
      <c r="C13" s="135"/>
      <c r="D13" s="140"/>
      <c r="E13" s="135"/>
      <c r="F13" s="135"/>
      <c r="G13" s="138"/>
      <c r="H13" s="141"/>
      <c r="I13" s="138"/>
      <c r="J13" s="137"/>
      <c r="K13" s="137"/>
      <c r="L13" s="137"/>
      <c r="M13" s="137"/>
    </row>
    <row r="14" spans="1:13" ht="24">
      <c r="A14" s="135">
        <v>3</v>
      </c>
      <c r="B14" s="136" t="s">
        <v>371</v>
      </c>
      <c r="C14" s="135" t="s">
        <v>36</v>
      </c>
      <c r="D14" s="140" t="s">
        <v>373</v>
      </c>
      <c r="E14" s="135" t="s">
        <v>374</v>
      </c>
      <c r="F14" s="135">
        <v>5</v>
      </c>
      <c r="G14" s="138" t="s">
        <v>375</v>
      </c>
      <c r="H14" s="135" t="s">
        <v>374</v>
      </c>
      <c r="I14" s="138" t="s">
        <v>319</v>
      </c>
      <c r="J14" s="137">
        <f>20040*12</f>
        <v>240480</v>
      </c>
      <c r="K14" s="137" t="s">
        <v>12</v>
      </c>
      <c r="L14" s="137" t="s">
        <v>12</v>
      </c>
      <c r="M14" s="137"/>
    </row>
    <row r="15" spans="1:13" ht="24">
      <c r="A15" s="135">
        <v>4</v>
      </c>
      <c r="B15" s="136" t="s">
        <v>376</v>
      </c>
      <c r="C15" s="135" t="s">
        <v>51</v>
      </c>
      <c r="D15" s="138" t="s">
        <v>12</v>
      </c>
      <c r="E15" s="135" t="s">
        <v>26</v>
      </c>
      <c r="F15" s="135" t="s">
        <v>12</v>
      </c>
      <c r="G15" s="145" t="s">
        <v>12</v>
      </c>
      <c r="H15" s="135" t="s">
        <v>377</v>
      </c>
      <c r="I15" s="138" t="s">
        <v>12</v>
      </c>
      <c r="J15" s="137">
        <f>9000*12</f>
        <v>108000</v>
      </c>
      <c r="K15" s="137" t="s">
        <v>12</v>
      </c>
      <c r="L15" s="137">
        <f>1000*12</f>
        <v>12000</v>
      </c>
      <c r="M15" s="137">
        <f>SUM(J15:L15)</f>
        <v>120000</v>
      </c>
    </row>
    <row r="16" spans="1:13" ht="24">
      <c r="A16" s="135"/>
      <c r="B16" s="144" t="s">
        <v>77</v>
      </c>
      <c r="C16" s="135"/>
      <c r="D16" s="138"/>
      <c r="E16" s="135"/>
      <c r="F16" s="135"/>
      <c r="G16" s="146"/>
      <c r="H16" s="135"/>
      <c r="I16" s="138"/>
      <c r="J16" s="137"/>
      <c r="K16" s="137"/>
      <c r="L16" s="137"/>
      <c r="M16" s="137"/>
    </row>
    <row r="17" spans="1:13" ht="24">
      <c r="A17" s="135">
        <v>5</v>
      </c>
      <c r="B17" s="136" t="s">
        <v>378</v>
      </c>
      <c r="C17" s="135" t="s">
        <v>36</v>
      </c>
      <c r="D17" s="140" t="s">
        <v>380</v>
      </c>
      <c r="E17" s="138" t="s">
        <v>379</v>
      </c>
      <c r="F17" s="135">
        <v>5</v>
      </c>
      <c r="G17" s="138" t="s">
        <v>381</v>
      </c>
      <c r="H17" s="138" t="s">
        <v>379</v>
      </c>
      <c r="I17" s="138" t="s">
        <v>319</v>
      </c>
      <c r="J17" s="137">
        <f>21880*12</f>
        <v>262560</v>
      </c>
      <c r="K17" s="137" t="s">
        <v>12</v>
      </c>
      <c r="L17" s="137" t="s">
        <v>12</v>
      </c>
      <c r="M17" s="137"/>
    </row>
    <row r="18" spans="1:13" ht="24">
      <c r="A18" s="135">
        <v>6</v>
      </c>
      <c r="B18" s="136" t="s">
        <v>632</v>
      </c>
      <c r="C18" s="135" t="s">
        <v>22</v>
      </c>
      <c r="D18" s="147" t="s">
        <v>12</v>
      </c>
      <c r="E18" s="138" t="s">
        <v>382</v>
      </c>
      <c r="F18" s="135" t="s">
        <v>12</v>
      </c>
      <c r="G18" s="138" t="s">
        <v>12</v>
      </c>
      <c r="H18" s="138" t="s">
        <v>382</v>
      </c>
      <c r="I18" s="138" t="s">
        <v>12</v>
      </c>
      <c r="J18" s="137">
        <f>12020*12</f>
        <v>144240</v>
      </c>
      <c r="K18" s="137"/>
      <c r="L18" s="137">
        <f>1265*12</f>
        <v>15180</v>
      </c>
      <c r="M18" s="137">
        <f>J18+L18</f>
        <v>159420</v>
      </c>
    </row>
    <row r="19" spans="1:13" ht="24">
      <c r="A19" s="135">
        <v>7</v>
      </c>
      <c r="B19" s="135" t="s">
        <v>12</v>
      </c>
      <c r="C19" s="135" t="s">
        <v>12</v>
      </c>
      <c r="D19" s="135" t="s">
        <v>12</v>
      </c>
      <c r="E19" s="138" t="s">
        <v>26</v>
      </c>
      <c r="F19" s="135" t="s">
        <v>12</v>
      </c>
      <c r="G19" s="135" t="s">
        <v>12</v>
      </c>
      <c r="H19" s="135" t="s">
        <v>26</v>
      </c>
      <c r="I19" s="138" t="s">
        <v>12</v>
      </c>
      <c r="J19" s="137" t="s">
        <v>12</v>
      </c>
      <c r="K19" s="137" t="s">
        <v>12</v>
      </c>
      <c r="L19" s="137" t="s">
        <v>12</v>
      </c>
      <c r="M19" s="137" t="s">
        <v>307</v>
      </c>
    </row>
    <row r="20" spans="1:13" ht="24">
      <c r="A20" s="135"/>
      <c r="B20" s="144" t="s">
        <v>18</v>
      </c>
      <c r="C20" s="135"/>
      <c r="D20" s="135"/>
      <c r="E20" s="138"/>
      <c r="F20" s="135"/>
      <c r="G20" s="135"/>
      <c r="H20" s="135"/>
      <c r="I20" s="138"/>
      <c r="J20" s="137"/>
      <c r="K20" s="137"/>
      <c r="L20" s="137"/>
      <c r="M20" s="137"/>
    </row>
    <row r="21" spans="1:13" ht="24">
      <c r="A21" s="135">
        <v>8</v>
      </c>
      <c r="B21" s="136" t="s">
        <v>383</v>
      </c>
      <c r="C21" s="135" t="s">
        <v>36</v>
      </c>
      <c r="D21" s="140" t="s">
        <v>384</v>
      </c>
      <c r="E21" s="138" t="s">
        <v>232</v>
      </c>
      <c r="F21" s="135">
        <v>6</v>
      </c>
      <c r="G21" s="138" t="s">
        <v>385</v>
      </c>
      <c r="H21" s="135" t="s">
        <v>232</v>
      </c>
      <c r="I21" s="138" t="s">
        <v>335</v>
      </c>
      <c r="J21" s="137">
        <f>34990*12</f>
        <v>419880</v>
      </c>
      <c r="K21" s="137" t="s">
        <v>12</v>
      </c>
      <c r="L21" s="137" t="s">
        <v>12</v>
      </c>
      <c r="M21" s="137"/>
    </row>
    <row r="22" spans="1:13" ht="24">
      <c r="A22" s="135">
        <v>9</v>
      </c>
      <c r="B22" s="136" t="s">
        <v>386</v>
      </c>
      <c r="C22" s="135" t="s">
        <v>51</v>
      </c>
      <c r="D22" s="135" t="s">
        <v>12</v>
      </c>
      <c r="E22" s="138" t="s">
        <v>387</v>
      </c>
      <c r="F22" s="135" t="s">
        <v>12</v>
      </c>
      <c r="G22" s="135" t="s">
        <v>12</v>
      </c>
      <c r="H22" s="138" t="s">
        <v>387</v>
      </c>
      <c r="I22" s="138" t="s">
        <v>12</v>
      </c>
      <c r="J22" s="137">
        <f>19100*12</f>
        <v>229200</v>
      </c>
      <c r="K22" s="137" t="s">
        <v>12</v>
      </c>
      <c r="L22" s="137" t="s">
        <v>12</v>
      </c>
      <c r="M22" s="137"/>
    </row>
    <row r="23" spans="1:13" ht="24">
      <c r="A23" s="148">
        <v>10</v>
      </c>
      <c r="B23" s="149" t="s">
        <v>389</v>
      </c>
      <c r="C23" s="148" t="s">
        <v>388</v>
      </c>
      <c r="D23" s="148" t="s">
        <v>12</v>
      </c>
      <c r="E23" s="150" t="s">
        <v>23</v>
      </c>
      <c r="F23" s="148" t="s">
        <v>12</v>
      </c>
      <c r="G23" s="148" t="s">
        <v>12</v>
      </c>
      <c r="H23" s="150" t="s">
        <v>23</v>
      </c>
      <c r="I23" s="150" t="s">
        <v>12</v>
      </c>
      <c r="J23" s="151">
        <f>12140*12</f>
        <v>145680</v>
      </c>
      <c r="K23" s="151" t="s">
        <v>12</v>
      </c>
      <c r="L23" s="151">
        <f>1145*12</f>
        <v>13740</v>
      </c>
      <c r="M23" s="151">
        <f>J23+L23</f>
        <v>159420</v>
      </c>
    </row>
    <row r="24" spans="1:13" ht="24">
      <c r="A24" s="130">
        <v>11</v>
      </c>
      <c r="B24" s="152" t="s">
        <v>390</v>
      </c>
      <c r="C24" s="130" t="s">
        <v>391</v>
      </c>
      <c r="D24" s="130" t="s">
        <v>12</v>
      </c>
      <c r="E24" s="132" t="s">
        <v>21</v>
      </c>
      <c r="F24" s="130" t="s">
        <v>12</v>
      </c>
      <c r="G24" s="130" t="s">
        <v>12</v>
      </c>
      <c r="H24" s="132" t="s">
        <v>21</v>
      </c>
      <c r="I24" s="132" t="s">
        <v>12</v>
      </c>
      <c r="J24" s="134">
        <f>11910*12</f>
        <v>142920</v>
      </c>
      <c r="K24" s="134" t="s">
        <v>12</v>
      </c>
      <c r="L24" s="134">
        <f>1375*12</f>
        <v>16500</v>
      </c>
      <c r="M24" s="134">
        <f>J24+L24</f>
        <v>159420</v>
      </c>
    </row>
    <row r="25" spans="1:13" ht="24">
      <c r="A25" s="135">
        <v>12</v>
      </c>
      <c r="B25" s="135" t="s">
        <v>12</v>
      </c>
      <c r="C25" s="135" t="s">
        <v>12</v>
      </c>
      <c r="D25" s="135" t="s">
        <v>12</v>
      </c>
      <c r="E25" s="138" t="s">
        <v>26</v>
      </c>
      <c r="F25" s="135" t="s">
        <v>12</v>
      </c>
      <c r="G25" s="135" t="s">
        <v>12</v>
      </c>
      <c r="H25" s="135" t="s">
        <v>26</v>
      </c>
      <c r="I25" s="138" t="s">
        <v>12</v>
      </c>
      <c r="J25" s="137" t="s">
        <v>12</v>
      </c>
      <c r="K25" s="137" t="s">
        <v>12</v>
      </c>
      <c r="L25" s="137" t="s">
        <v>12</v>
      </c>
      <c r="M25" s="137" t="s">
        <v>307</v>
      </c>
    </row>
    <row r="26" spans="1:13" ht="24">
      <c r="A26" s="135"/>
      <c r="B26" s="139" t="s">
        <v>78</v>
      </c>
      <c r="C26" s="135"/>
      <c r="D26" s="135"/>
      <c r="E26" s="138"/>
      <c r="F26" s="135"/>
      <c r="G26" s="135"/>
      <c r="H26" s="135"/>
      <c r="I26" s="138"/>
      <c r="J26" s="137"/>
      <c r="K26" s="137"/>
      <c r="L26" s="137"/>
      <c r="M26" s="137"/>
    </row>
    <row r="27" spans="1:13" ht="24">
      <c r="A27" s="135">
        <v>13</v>
      </c>
      <c r="B27" s="136" t="s">
        <v>392</v>
      </c>
      <c r="C27" s="135" t="s">
        <v>36</v>
      </c>
      <c r="D27" s="140" t="s">
        <v>372</v>
      </c>
      <c r="E27" s="138" t="s">
        <v>81</v>
      </c>
      <c r="F27" s="135">
        <v>7</v>
      </c>
      <c r="G27" s="135" t="s">
        <v>369</v>
      </c>
      <c r="H27" s="138" t="s">
        <v>81</v>
      </c>
      <c r="I27" s="138" t="s">
        <v>300</v>
      </c>
      <c r="J27" s="137">
        <f>26980*12</f>
        <v>323760</v>
      </c>
      <c r="K27" s="137">
        <f>1500*9</f>
        <v>13500</v>
      </c>
      <c r="L27" s="137" t="s">
        <v>12</v>
      </c>
      <c r="M27" s="137">
        <f>SUM(J27:L27)</f>
        <v>337260</v>
      </c>
    </row>
    <row r="28" spans="1:13" ht="24">
      <c r="A28" s="135"/>
      <c r="B28" s="136"/>
      <c r="C28" s="135"/>
      <c r="D28" s="135"/>
      <c r="E28" s="138" t="s">
        <v>365</v>
      </c>
      <c r="F28" s="135"/>
      <c r="G28" s="135"/>
      <c r="H28" s="138" t="s">
        <v>365</v>
      </c>
      <c r="I28" s="138"/>
      <c r="J28" s="137"/>
      <c r="K28" s="137"/>
      <c r="L28" s="137"/>
      <c r="M28" s="137"/>
    </row>
    <row r="29" spans="1:13" ht="24">
      <c r="A29" s="135"/>
      <c r="B29" s="144" t="s">
        <v>79</v>
      </c>
      <c r="C29" s="135"/>
      <c r="D29" s="135"/>
      <c r="E29" s="138"/>
      <c r="F29" s="135"/>
      <c r="G29" s="135"/>
      <c r="H29" s="135"/>
      <c r="I29" s="138"/>
      <c r="J29" s="137"/>
      <c r="K29" s="137"/>
      <c r="L29" s="137"/>
      <c r="M29" s="137"/>
    </row>
    <row r="30" spans="1:13" ht="24">
      <c r="A30" s="135">
        <v>14</v>
      </c>
      <c r="B30" s="136" t="s">
        <v>393</v>
      </c>
      <c r="C30" s="135" t="s">
        <v>391</v>
      </c>
      <c r="D30" s="135" t="s">
        <v>12</v>
      </c>
      <c r="E30" s="138" t="s">
        <v>82</v>
      </c>
      <c r="F30" s="135" t="s">
        <v>12</v>
      </c>
      <c r="G30" s="135" t="s">
        <v>12</v>
      </c>
      <c r="H30" s="138" t="s">
        <v>82</v>
      </c>
      <c r="I30" s="138" t="s">
        <v>12</v>
      </c>
      <c r="J30" s="137">
        <f>11910*12</f>
        <v>142920</v>
      </c>
      <c r="K30" s="137" t="s">
        <v>12</v>
      </c>
      <c r="L30" s="137">
        <f>1375*12</f>
        <v>16500</v>
      </c>
      <c r="M30" s="137">
        <f>J30+L30</f>
        <v>159420</v>
      </c>
    </row>
    <row r="31" spans="1:13" ht="24">
      <c r="A31" s="135">
        <v>15</v>
      </c>
      <c r="B31" s="135" t="s">
        <v>12</v>
      </c>
      <c r="C31" s="135" t="s">
        <v>12</v>
      </c>
      <c r="D31" s="135" t="s">
        <v>12</v>
      </c>
      <c r="E31" s="138" t="s">
        <v>26</v>
      </c>
      <c r="F31" s="135" t="s">
        <v>12</v>
      </c>
      <c r="G31" s="135" t="s">
        <v>12</v>
      </c>
      <c r="H31" s="135" t="s">
        <v>26</v>
      </c>
      <c r="I31" s="138" t="s">
        <v>12</v>
      </c>
      <c r="J31" s="137" t="s">
        <v>12</v>
      </c>
      <c r="K31" s="137" t="s">
        <v>12</v>
      </c>
      <c r="L31" s="137" t="s">
        <v>12</v>
      </c>
      <c r="M31" s="137" t="s">
        <v>307</v>
      </c>
    </row>
    <row r="32" spans="1:13" ht="24">
      <c r="A32" s="135"/>
      <c r="B32" s="199" t="s">
        <v>394</v>
      </c>
      <c r="C32" s="200"/>
      <c r="D32" s="135"/>
      <c r="E32" s="138"/>
      <c r="F32" s="135"/>
      <c r="G32" s="135"/>
      <c r="H32" s="135"/>
      <c r="I32" s="138"/>
      <c r="J32" s="137"/>
      <c r="K32" s="137"/>
      <c r="L32" s="137"/>
      <c r="M32" s="137"/>
    </row>
    <row r="33" spans="1:13" ht="24">
      <c r="A33" s="135">
        <v>16</v>
      </c>
      <c r="B33" s="135" t="s">
        <v>12</v>
      </c>
      <c r="C33" s="135" t="s">
        <v>12</v>
      </c>
      <c r="D33" s="140" t="s">
        <v>396</v>
      </c>
      <c r="E33" s="138" t="s">
        <v>395</v>
      </c>
      <c r="F33" s="135" t="s">
        <v>397</v>
      </c>
      <c r="G33" s="135" t="s">
        <v>398</v>
      </c>
      <c r="H33" s="138" t="s">
        <v>395</v>
      </c>
      <c r="I33" s="138" t="s">
        <v>399</v>
      </c>
      <c r="J33" s="137" t="s">
        <v>12</v>
      </c>
      <c r="K33" s="137" t="s">
        <v>12</v>
      </c>
      <c r="L33" s="137" t="s">
        <v>12</v>
      </c>
      <c r="M33" s="137" t="s">
        <v>307</v>
      </c>
    </row>
    <row r="34" spans="1:13" ht="24">
      <c r="A34" s="135">
        <v>17</v>
      </c>
      <c r="B34" s="136" t="s">
        <v>400</v>
      </c>
      <c r="C34" s="135" t="s">
        <v>22</v>
      </c>
      <c r="D34" s="135" t="s">
        <v>12</v>
      </c>
      <c r="E34" s="138" t="s">
        <v>83</v>
      </c>
      <c r="F34" s="135" t="s">
        <v>12</v>
      </c>
      <c r="G34" s="135" t="s">
        <v>12</v>
      </c>
      <c r="H34" s="138" t="s">
        <v>83</v>
      </c>
      <c r="I34" s="138" t="s">
        <v>12</v>
      </c>
      <c r="J34" s="137">
        <f>11050*12</f>
        <v>132600</v>
      </c>
      <c r="K34" s="137" t="s">
        <v>12</v>
      </c>
      <c r="L34" s="137">
        <f>2000*12</f>
        <v>24000</v>
      </c>
      <c r="M34" s="137">
        <f>J34+L34</f>
        <v>156600</v>
      </c>
    </row>
    <row r="35" spans="1:13" ht="24">
      <c r="A35" s="135"/>
      <c r="B35" s="144" t="s">
        <v>401</v>
      </c>
      <c r="C35" s="135"/>
      <c r="D35" s="135"/>
      <c r="E35" s="138"/>
      <c r="F35" s="135"/>
      <c r="G35" s="135"/>
      <c r="H35" s="135"/>
      <c r="I35" s="138"/>
      <c r="J35" s="137"/>
      <c r="K35" s="137"/>
      <c r="L35" s="137"/>
      <c r="M35" s="137"/>
    </row>
    <row r="36" spans="1:13" ht="24">
      <c r="A36" s="135">
        <v>18</v>
      </c>
      <c r="B36" s="136" t="s">
        <v>403</v>
      </c>
      <c r="C36" s="135" t="s">
        <v>36</v>
      </c>
      <c r="D36" s="140" t="s">
        <v>404</v>
      </c>
      <c r="E36" s="138" t="s">
        <v>402</v>
      </c>
      <c r="F36" s="135">
        <v>5</v>
      </c>
      <c r="G36" s="135" t="s">
        <v>405</v>
      </c>
      <c r="H36" s="138" t="s">
        <v>402</v>
      </c>
      <c r="I36" s="138" t="s">
        <v>319</v>
      </c>
      <c r="J36" s="137">
        <f>18230*12</f>
        <v>218760</v>
      </c>
      <c r="K36" s="137" t="s">
        <v>12</v>
      </c>
      <c r="L36" s="137" t="s">
        <v>12</v>
      </c>
      <c r="M36" s="137"/>
    </row>
    <row r="37" spans="1:13" ht="24">
      <c r="A37" s="135">
        <v>19</v>
      </c>
      <c r="B37" s="136" t="s">
        <v>406</v>
      </c>
      <c r="C37" s="135" t="s">
        <v>36</v>
      </c>
      <c r="D37" s="140" t="s">
        <v>12</v>
      </c>
      <c r="E37" s="138" t="s">
        <v>407</v>
      </c>
      <c r="F37" s="135" t="s">
        <v>12</v>
      </c>
      <c r="G37" s="135" t="s">
        <v>12</v>
      </c>
      <c r="H37" s="138" t="s">
        <v>407</v>
      </c>
      <c r="I37" s="138" t="s">
        <v>12</v>
      </c>
      <c r="J37" s="137">
        <f>17040*12</f>
        <v>204480</v>
      </c>
      <c r="K37" s="137" t="s">
        <v>12</v>
      </c>
      <c r="L37" s="137" t="s">
        <v>12</v>
      </c>
      <c r="M37" s="137"/>
    </row>
    <row r="38" spans="1:13" ht="24">
      <c r="A38" s="135">
        <v>20</v>
      </c>
      <c r="B38" s="136" t="s">
        <v>408</v>
      </c>
      <c r="C38" s="135" t="s">
        <v>391</v>
      </c>
      <c r="D38" s="140" t="s">
        <v>12</v>
      </c>
      <c r="E38" s="138" t="s">
        <v>84</v>
      </c>
      <c r="F38" s="135" t="s">
        <v>12</v>
      </c>
      <c r="G38" s="135" t="s">
        <v>12</v>
      </c>
      <c r="H38" s="138" t="s">
        <v>84</v>
      </c>
      <c r="I38" s="138" t="s">
        <v>12</v>
      </c>
      <c r="J38" s="137">
        <f>9000*12</f>
        <v>108000</v>
      </c>
      <c r="K38" s="137" t="s">
        <v>12</v>
      </c>
      <c r="L38" s="137">
        <f>1000*12</f>
        <v>12000</v>
      </c>
      <c r="M38" s="137">
        <f>SUM(J38:L38)</f>
        <v>120000</v>
      </c>
    </row>
    <row r="39" spans="1:13" ht="24">
      <c r="A39" s="148">
        <v>21</v>
      </c>
      <c r="B39" s="148" t="s">
        <v>12</v>
      </c>
      <c r="C39" s="148" t="s">
        <v>12</v>
      </c>
      <c r="D39" s="148" t="s">
        <v>12</v>
      </c>
      <c r="E39" s="150" t="s">
        <v>84</v>
      </c>
      <c r="F39" s="148" t="s">
        <v>12</v>
      </c>
      <c r="G39" s="148" t="s">
        <v>12</v>
      </c>
      <c r="H39" s="150" t="s">
        <v>84</v>
      </c>
      <c r="I39" s="150" t="s">
        <v>12</v>
      </c>
      <c r="J39" s="151" t="s">
        <v>12</v>
      </c>
      <c r="K39" s="151" t="s">
        <v>12</v>
      </c>
      <c r="L39" s="151" t="s">
        <v>12</v>
      </c>
      <c r="M39" s="151" t="s">
        <v>307</v>
      </c>
    </row>
  </sheetData>
  <mergeCells count="8">
    <mergeCell ref="B32:C32"/>
    <mergeCell ref="A1:M1"/>
    <mergeCell ref="A2:M2"/>
    <mergeCell ref="A3:M3"/>
    <mergeCell ref="A4:M4"/>
    <mergeCell ref="D5:F5"/>
    <mergeCell ref="G5:I5"/>
    <mergeCell ref="J5:L5"/>
  </mergeCells>
  <pageMargins left="0.15748031496062992" right="0.15748031496062992" top="0.21" bottom="0.23622047244094491" header="0.17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8"/>
  <sheetViews>
    <sheetView view="pageBreakPreview" topLeftCell="A64" zoomScale="91" zoomScaleNormal="106" zoomScaleSheetLayoutView="91" workbookViewId="0">
      <selection activeCell="J13" sqref="J13"/>
    </sheetView>
  </sheetViews>
  <sheetFormatPr defaultRowHeight="20.25"/>
  <cols>
    <col min="1" max="1" width="3.5" style="6" customWidth="1"/>
    <col min="2" max="2" width="16.625" style="12" customWidth="1"/>
    <col min="3" max="3" width="7" style="6" customWidth="1"/>
    <col min="4" max="4" width="9.5" style="13" customWidth="1"/>
    <col min="5" max="5" width="18.125" style="6" customWidth="1"/>
    <col min="6" max="6" width="4.625" style="6" customWidth="1"/>
    <col min="7" max="7" width="15.375" style="6" customWidth="1"/>
    <col min="8" max="8" width="18.625" style="6" customWidth="1"/>
    <col min="9" max="9" width="6" style="11" customWidth="1"/>
    <col min="10" max="10" width="8.125" style="13" customWidth="1"/>
    <col min="11" max="12" width="9" style="13"/>
    <col min="13" max="13" width="8.375" style="13" customWidth="1"/>
    <col min="14" max="16384" width="9" style="6"/>
  </cols>
  <sheetData>
    <row r="1" spans="1:13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24">
      <c r="A2" s="195" t="s">
        <v>287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24">
      <c r="A3" s="196" t="s">
        <v>160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4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21.75" customHeight="1">
      <c r="A5" s="153"/>
      <c r="B5" s="21"/>
      <c r="C5" s="22"/>
      <c r="D5" s="190" t="s">
        <v>289</v>
      </c>
      <c r="E5" s="191"/>
      <c r="F5" s="192"/>
      <c r="G5" s="190" t="s">
        <v>637</v>
      </c>
      <c r="H5" s="191"/>
      <c r="I5" s="192"/>
      <c r="J5" s="190" t="s">
        <v>3</v>
      </c>
      <c r="K5" s="191"/>
      <c r="L5" s="192"/>
      <c r="M5" s="23"/>
    </row>
    <row r="6" spans="1:13" ht="20.25" customHeight="1">
      <c r="A6" s="24" t="s">
        <v>73</v>
      </c>
      <c r="B6" s="24" t="s">
        <v>1</v>
      </c>
      <c r="C6" s="25" t="s">
        <v>2</v>
      </c>
      <c r="D6" s="26" t="s">
        <v>306</v>
      </c>
      <c r="E6" s="27" t="s">
        <v>290</v>
      </c>
      <c r="F6" s="27" t="s">
        <v>5</v>
      </c>
      <c r="G6" s="26" t="s">
        <v>4</v>
      </c>
      <c r="H6" s="27" t="s">
        <v>290</v>
      </c>
      <c r="I6" s="28" t="s">
        <v>5</v>
      </c>
      <c r="J6" s="26" t="s">
        <v>3</v>
      </c>
      <c r="K6" s="26" t="s">
        <v>292</v>
      </c>
      <c r="L6" s="29" t="s">
        <v>293</v>
      </c>
      <c r="M6" s="30" t="s">
        <v>295</v>
      </c>
    </row>
    <row r="7" spans="1:13" ht="21.75" customHeight="1">
      <c r="A7" s="31"/>
      <c r="B7" s="32"/>
      <c r="C7" s="33" t="s">
        <v>288</v>
      </c>
      <c r="D7" s="34" t="s">
        <v>290</v>
      </c>
      <c r="E7" s="31"/>
      <c r="F7" s="31"/>
      <c r="G7" s="34"/>
      <c r="H7" s="31"/>
      <c r="I7" s="35"/>
      <c r="J7" s="34"/>
      <c r="K7" s="36" t="s">
        <v>290</v>
      </c>
      <c r="L7" s="37" t="s">
        <v>294</v>
      </c>
      <c r="M7" s="38"/>
    </row>
    <row r="8" spans="1:13" ht="24">
      <c r="A8" s="39">
        <v>1</v>
      </c>
      <c r="B8" s="154" t="s">
        <v>409</v>
      </c>
      <c r="C8" s="41" t="s">
        <v>154</v>
      </c>
      <c r="D8" s="42" t="s">
        <v>410</v>
      </c>
      <c r="E8" s="41" t="s">
        <v>140</v>
      </c>
      <c r="F8" s="41">
        <v>8</v>
      </c>
      <c r="G8" s="43" t="s">
        <v>411</v>
      </c>
      <c r="H8" s="41" t="s">
        <v>140</v>
      </c>
      <c r="I8" s="44" t="s">
        <v>305</v>
      </c>
      <c r="J8" s="45">
        <f>39190*12</f>
        <v>470280</v>
      </c>
      <c r="K8" s="45">
        <f>5600*12</f>
        <v>67200</v>
      </c>
      <c r="L8" s="45">
        <f>5600*12</f>
        <v>67200</v>
      </c>
      <c r="M8" s="45">
        <f>SUM(J8:L8)</f>
        <v>604680</v>
      </c>
    </row>
    <row r="9" spans="1:13" ht="24">
      <c r="A9" s="46"/>
      <c r="B9" s="47"/>
      <c r="C9" s="46"/>
      <c r="D9" s="48"/>
      <c r="E9" s="46" t="s">
        <v>141</v>
      </c>
      <c r="F9" s="46"/>
      <c r="G9" s="49"/>
      <c r="H9" s="46" t="s">
        <v>141</v>
      </c>
      <c r="I9" s="49"/>
      <c r="J9" s="48"/>
      <c r="K9" s="48"/>
      <c r="L9" s="48"/>
      <c r="M9" s="48"/>
    </row>
    <row r="10" spans="1:13" ht="24">
      <c r="A10" s="46"/>
      <c r="B10" s="208" t="s">
        <v>97</v>
      </c>
      <c r="C10" s="209"/>
      <c r="D10" s="52"/>
      <c r="E10" s="46"/>
      <c r="F10" s="46"/>
      <c r="G10" s="49"/>
      <c r="H10" s="50"/>
      <c r="I10" s="50"/>
      <c r="J10" s="53"/>
      <c r="K10" s="48"/>
      <c r="L10" s="48"/>
      <c r="M10" s="48"/>
    </row>
    <row r="11" spans="1:13" ht="24">
      <c r="A11" s="46">
        <v>2</v>
      </c>
      <c r="B11" s="46" t="s">
        <v>12</v>
      </c>
      <c r="C11" s="46" t="s">
        <v>12</v>
      </c>
      <c r="D11" s="52" t="s">
        <v>412</v>
      </c>
      <c r="E11" s="46" t="s">
        <v>413</v>
      </c>
      <c r="F11" s="46">
        <v>7</v>
      </c>
      <c r="G11" s="49" t="s">
        <v>415</v>
      </c>
      <c r="H11" s="46" t="s">
        <v>413</v>
      </c>
      <c r="I11" s="49" t="s">
        <v>300</v>
      </c>
      <c r="J11" s="48" t="s">
        <v>12</v>
      </c>
      <c r="K11" s="48" t="s">
        <v>12</v>
      </c>
      <c r="L11" s="48" t="s">
        <v>12</v>
      </c>
      <c r="M11" s="48" t="s">
        <v>307</v>
      </c>
    </row>
    <row r="12" spans="1:13" ht="24">
      <c r="A12" s="46"/>
      <c r="B12" s="47"/>
      <c r="C12" s="46"/>
      <c r="D12" s="52"/>
      <c r="E12" s="54" t="s">
        <v>141</v>
      </c>
      <c r="F12" s="46"/>
      <c r="G12" s="49"/>
      <c r="H12" s="54" t="s">
        <v>141</v>
      </c>
      <c r="I12" s="50"/>
      <c r="J12" s="48"/>
      <c r="K12" s="48"/>
      <c r="L12" s="48"/>
      <c r="M12" s="48"/>
    </row>
    <row r="13" spans="1:13" ht="24">
      <c r="A13" s="46"/>
      <c r="B13" s="59" t="s">
        <v>98</v>
      </c>
      <c r="C13" s="46"/>
      <c r="D13" s="52"/>
      <c r="E13" s="46"/>
      <c r="F13" s="46"/>
      <c r="G13" s="49"/>
      <c r="H13" s="50"/>
      <c r="I13" s="49"/>
      <c r="J13" s="48"/>
      <c r="K13" s="48"/>
      <c r="L13" s="48"/>
      <c r="M13" s="48"/>
    </row>
    <row r="14" spans="1:13" ht="24">
      <c r="A14" s="46">
        <v>3</v>
      </c>
      <c r="B14" s="47" t="s">
        <v>416</v>
      </c>
      <c r="C14" s="46" t="s">
        <v>154</v>
      </c>
      <c r="D14" s="52" t="s">
        <v>418</v>
      </c>
      <c r="E14" s="46" t="s">
        <v>419</v>
      </c>
      <c r="F14" s="46" t="s">
        <v>312</v>
      </c>
      <c r="G14" s="49" t="s">
        <v>421</v>
      </c>
      <c r="H14" s="46" t="s">
        <v>419</v>
      </c>
      <c r="I14" s="49" t="s">
        <v>316</v>
      </c>
      <c r="J14" s="48">
        <f>22920*12</f>
        <v>275040</v>
      </c>
      <c r="K14" s="48" t="s">
        <v>12</v>
      </c>
      <c r="L14" s="48" t="s">
        <v>12</v>
      </c>
      <c r="M14" s="48"/>
    </row>
    <row r="15" spans="1:13" ht="24">
      <c r="A15" s="46">
        <v>4</v>
      </c>
      <c r="B15" s="47" t="s">
        <v>422</v>
      </c>
      <c r="C15" s="46" t="s">
        <v>51</v>
      </c>
      <c r="D15" s="52" t="s">
        <v>423</v>
      </c>
      <c r="E15" s="46" t="s">
        <v>142</v>
      </c>
      <c r="F15" s="46">
        <v>5</v>
      </c>
      <c r="G15" s="49" t="s">
        <v>424</v>
      </c>
      <c r="H15" s="46" t="s">
        <v>142</v>
      </c>
      <c r="I15" s="49" t="s">
        <v>335</v>
      </c>
      <c r="J15" s="48">
        <f>17200*12</f>
        <v>206400</v>
      </c>
      <c r="K15" s="48" t="s">
        <v>12</v>
      </c>
      <c r="L15" s="48" t="s">
        <v>12</v>
      </c>
      <c r="M15" s="48"/>
    </row>
    <row r="16" spans="1:13" ht="24">
      <c r="A16" s="46">
        <v>5</v>
      </c>
      <c r="B16" s="47" t="s">
        <v>425</v>
      </c>
      <c r="C16" s="46" t="s">
        <v>22</v>
      </c>
      <c r="D16" s="49" t="s">
        <v>12</v>
      </c>
      <c r="E16" s="46" t="s">
        <v>143</v>
      </c>
      <c r="F16" s="46" t="s">
        <v>12</v>
      </c>
      <c r="G16" s="156" t="s">
        <v>12</v>
      </c>
      <c r="H16" s="46" t="s">
        <v>143</v>
      </c>
      <c r="I16" s="49" t="s">
        <v>12</v>
      </c>
      <c r="J16" s="48">
        <f>17570*12</f>
        <v>210840</v>
      </c>
      <c r="K16" s="48" t="s">
        <v>12</v>
      </c>
      <c r="L16" s="48" t="s">
        <v>12</v>
      </c>
      <c r="M16" s="48"/>
    </row>
    <row r="17" spans="1:13" ht="24">
      <c r="A17" s="46">
        <v>6</v>
      </c>
      <c r="B17" s="95" t="s">
        <v>99</v>
      </c>
      <c r="C17" s="96" t="s">
        <v>22</v>
      </c>
      <c r="D17" s="49" t="s">
        <v>12</v>
      </c>
      <c r="E17" s="46" t="s">
        <v>144</v>
      </c>
      <c r="F17" s="46" t="s">
        <v>12</v>
      </c>
      <c r="G17" s="156" t="s">
        <v>12</v>
      </c>
      <c r="H17" s="46" t="s">
        <v>144</v>
      </c>
      <c r="I17" s="49" t="s">
        <v>12</v>
      </c>
      <c r="J17" s="48">
        <f>12750*12</f>
        <v>153000</v>
      </c>
      <c r="K17" s="48" t="s">
        <v>12</v>
      </c>
      <c r="L17" s="48">
        <f>535*12</f>
        <v>6420</v>
      </c>
      <c r="M17" s="48">
        <f>J17+L17</f>
        <v>159420</v>
      </c>
    </row>
    <row r="18" spans="1:13" ht="24">
      <c r="A18" s="46">
        <v>7</v>
      </c>
      <c r="B18" s="95" t="s">
        <v>100</v>
      </c>
      <c r="C18" s="96" t="s">
        <v>28</v>
      </c>
      <c r="D18" s="49" t="s">
        <v>12</v>
      </c>
      <c r="E18" s="46" t="s">
        <v>144</v>
      </c>
      <c r="F18" s="46" t="s">
        <v>12</v>
      </c>
      <c r="G18" s="156" t="s">
        <v>12</v>
      </c>
      <c r="H18" s="46" t="s">
        <v>144</v>
      </c>
      <c r="I18" s="49" t="s">
        <v>12</v>
      </c>
      <c r="J18" s="48">
        <f>12140*12</f>
        <v>145680</v>
      </c>
      <c r="K18" s="48" t="s">
        <v>12</v>
      </c>
      <c r="L18" s="48">
        <f>1145*12</f>
        <v>13740</v>
      </c>
      <c r="M18" s="48">
        <f t="shared" ref="M18:M19" si="0">J18+L18</f>
        <v>159420</v>
      </c>
    </row>
    <row r="19" spans="1:13" ht="24">
      <c r="A19" s="46">
        <v>8</v>
      </c>
      <c r="B19" s="95" t="s">
        <v>101</v>
      </c>
      <c r="C19" s="96" t="s">
        <v>24</v>
      </c>
      <c r="D19" s="49" t="s">
        <v>12</v>
      </c>
      <c r="E19" s="46" t="s">
        <v>144</v>
      </c>
      <c r="F19" s="46" t="s">
        <v>12</v>
      </c>
      <c r="G19" s="156" t="s">
        <v>12</v>
      </c>
      <c r="H19" s="46" t="s">
        <v>144</v>
      </c>
      <c r="I19" s="49" t="s">
        <v>12</v>
      </c>
      <c r="J19" s="48">
        <f>12380*12</f>
        <v>148560</v>
      </c>
      <c r="K19" s="48" t="s">
        <v>12</v>
      </c>
      <c r="L19" s="48">
        <f>905*12</f>
        <v>10860</v>
      </c>
      <c r="M19" s="48">
        <f t="shared" si="0"/>
        <v>159420</v>
      </c>
    </row>
    <row r="20" spans="1:13" ht="24">
      <c r="A20" s="46"/>
      <c r="B20" s="59" t="s">
        <v>18</v>
      </c>
      <c r="C20" s="46"/>
      <c r="D20" s="46"/>
      <c r="E20" s="49"/>
      <c r="F20" s="46"/>
      <c r="G20" s="46"/>
      <c r="H20" s="46"/>
      <c r="I20" s="49"/>
      <c r="J20" s="48"/>
      <c r="K20" s="48"/>
      <c r="L20" s="48"/>
      <c r="M20" s="48"/>
    </row>
    <row r="21" spans="1:13" ht="24">
      <c r="A21" s="46">
        <v>9</v>
      </c>
      <c r="B21" s="47" t="s">
        <v>426</v>
      </c>
      <c r="C21" s="46" t="s">
        <v>36</v>
      </c>
      <c r="D21" s="52" t="s">
        <v>428</v>
      </c>
      <c r="E21" s="49" t="s">
        <v>429</v>
      </c>
      <c r="F21" s="46" t="s">
        <v>312</v>
      </c>
      <c r="G21" s="49" t="s">
        <v>431</v>
      </c>
      <c r="H21" s="46" t="s">
        <v>432</v>
      </c>
      <c r="I21" s="49" t="s">
        <v>316</v>
      </c>
      <c r="J21" s="48">
        <f>21500*12</f>
        <v>258000</v>
      </c>
      <c r="K21" s="48" t="s">
        <v>12</v>
      </c>
      <c r="L21" s="48" t="s">
        <v>12</v>
      </c>
      <c r="M21" s="48"/>
    </row>
    <row r="22" spans="1:13" ht="24">
      <c r="A22" s="46">
        <v>10</v>
      </c>
      <c r="B22" s="95" t="s">
        <v>85</v>
      </c>
      <c r="C22" s="96" t="s">
        <v>36</v>
      </c>
      <c r="D22" s="96" t="s">
        <v>12</v>
      </c>
      <c r="E22" s="96" t="s">
        <v>23</v>
      </c>
      <c r="F22" s="96" t="s">
        <v>12</v>
      </c>
      <c r="G22" s="96" t="s">
        <v>12</v>
      </c>
      <c r="H22" s="96" t="s">
        <v>23</v>
      </c>
      <c r="I22" s="96" t="s">
        <v>12</v>
      </c>
      <c r="J22" s="48">
        <f>12030*12</f>
        <v>144360</v>
      </c>
      <c r="K22" s="48" t="s">
        <v>12</v>
      </c>
      <c r="L22" s="48">
        <f>1255*12</f>
        <v>15060</v>
      </c>
      <c r="M22" s="48">
        <f>J22+L22</f>
        <v>159420</v>
      </c>
    </row>
    <row r="23" spans="1:13" ht="24">
      <c r="A23" s="65">
        <v>11</v>
      </c>
      <c r="B23" s="157" t="s">
        <v>86</v>
      </c>
      <c r="C23" s="101" t="s">
        <v>27</v>
      </c>
      <c r="D23" s="101" t="s">
        <v>12</v>
      </c>
      <c r="E23" s="101" t="s">
        <v>21</v>
      </c>
      <c r="F23" s="101" t="s">
        <v>12</v>
      </c>
      <c r="G23" s="101" t="s">
        <v>12</v>
      </c>
      <c r="H23" s="101" t="s">
        <v>21</v>
      </c>
      <c r="I23" s="101" t="s">
        <v>12</v>
      </c>
      <c r="J23" s="69">
        <f>12640*12</f>
        <v>151680</v>
      </c>
      <c r="K23" s="69" t="s">
        <v>12</v>
      </c>
      <c r="L23" s="69">
        <f>645*12</f>
        <v>7740</v>
      </c>
      <c r="M23" s="69">
        <f t="shared" ref="M23:M33" si="1">J23+L23</f>
        <v>159420</v>
      </c>
    </row>
    <row r="24" spans="1:13" ht="24">
      <c r="A24" s="41">
        <v>12</v>
      </c>
      <c r="B24" s="158" t="s">
        <v>87</v>
      </c>
      <c r="C24" s="103" t="s">
        <v>19</v>
      </c>
      <c r="D24" s="103" t="s">
        <v>12</v>
      </c>
      <c r="E24" s="103" t="s">
        <v>21</v>
      </c>
      <c r="F24" s="103" t="s">
        <v>12</v>
      </c>
      <c r="G24" s="103" t="s">
        <v>12</v>
      </c>
      <c r="H24" s="103" t="s">
        <v>21</v>
      </c>
      <c r="I24" s="103" t="s">
        <v>12</v>
      </c>
      <c r="J24" s="45">
        <f>11910*12</f>
        <v>142920</v>
      </c>
      <c r="K24" s="45" t="s">
        <v>12</v>
      </c>
      <c r="L24" s="45">
        <f>1375*12</f>
        <v>16500</v>
      </c>
      <c r="M24" s="45">
        <f t="shared" si="1"/>
        <v>159420</v>
      </c>
    </row>
    <row r="25" spans="1:13" ht="24">
      <c r="A25" s="46">
        <v>13</v>
      </c>
      <c r="B25" s="95" t="s">
        <v>88</v>
      </c>
      <c r="C25" s="96" t="s">
        <v>27</v>
      </c>
      <c r="D25" s="96" t="s">
        <v>12</v>
      </c>
      <c r="E25" s="96" t="s">
        <v>21</v>
      </c>
      <c r="F25" s="96" t="s">
        <v>12</v>
      </c>
      <c r="G25" s="96" t="s">
        <v>12</v>
      </c>
      <c r="H25" s="96" t="s">
        <v>21</v>
      </c>
      <c r="I25" s="96" t="s">
        <v>12</v>
      </c>
      <c r="J25" s="48">
        <f>12260*12</f>
        <v>147120</v>
      </c>
      <c r="K25" s="48" t="s">
        <v>12</v>
      </c>
      <c r="L25" s="48">
        <f>1025*12</f>
        <v>12300</v>
      </c>
      <c r="M25" s="48">
        <f t="shared" si="1"/>
        <v>159420</v>
      </c>
    </row>
    <row r="26" spans="1:13" ht="24">
      <c r="A26" s="46">
        <v>14</v>
      </c>
      <c r="B26" s="95" t="s">
        <v>89</v>
      </c>
      <c r="C26" s="96" t="s">
        <v>24</v>
      </c>
      <c r="D26" s="96" t="s">
        <v>12</v>
      </c>
      <c r="E26" s="96" t="s">
        <v>21</v>
      </c>
      <c r="F26" s="96" t="s">
        <v>12</v>
      </c>
      <c r="G26" s="96" t="s">
        <v>12</v>
      </c>
      <c r="H26" s="96" t="s">
        <v>21</v>
      </c>
      <c r="I26" s="96" t="s">
        <v>12</v>
      </c>
      <c r="J26" s="48">
        <f>11050*12</f>
        <v>132600</v>
      </c>
      <c r="K26" s="48" t="s">
        <v>12</v>
      </c>
      <c r="L26" s="48">
        <f>2000*12</f>
        <v>24000</v>
      </c>
      <c r="M26" s="48">
        <f t="shared" si="1"/>
        <v>156600</v>
      </c>
    </row>
    <row r="27" spans="1:13" ht="24">
      <c r="A27" s="46">
        <v>15</v>
      </c>
      <c r="B27" s="95" t="s">
        <v>90</v>
      </c>
      <c r="C27" s="96" t="s">
        <v>22</v>
      </c>
      <c r="D27" s="96" t="s">
        <v>12</v>
      </c>
      <c r="E27" s="96" t="s">
        <v>21</v>
      </c>
      <c r="F27" s="96" t="s">
        <v>12</v>
      </c>
      <c r="G27" s="96" t="s">
        <v>12</v>
      </c>
      <c r="H27" s="96" t="s">
        <v>21</v>
      </c>
      <c r="I27" s="96" t="s">
        <v>12</v>
      </c>
      <c r="J27" s="48">
        <f>12030*12</f>
        <v>144360</v>
      </c>
      <c r="K27" s="48" t="s">
        <v>12</v>
      </c>
      <c r="L27" s="48">
        <f>1255*12</f>
        <v>15060</v>
      </c>
      <c r="M27" s="48">
        <f t="shared" si="1"/>
        <v>159420</v>
      </c>
    </row>
    <row r="28" spans="1:13" ht="24">
      <c r="A28" s="46">
        <v>16</v>
      </c>
      <c r="B28" s="95" t="s">
        <v>91</v>
      </c>
      <c r="C28" s="96" t="s">
        <v>19</v>
      </c>
      <c r="D28" s="96" t="s">
        <v>12</v>
      </c>
      <c r="E28" s="96" t="s">
        <v>21</v>
      </c>
      <c r="F28" s="96" t="s">
        <v>12</v>
      </c>
      <c r="G28" s="96" t="s">
        <v>12</v>
      </c>
      <c r="H28" s="96" t="s">
        <v>21</v>
      </c>
      <c r="I28" s="96" t="s">
        <v>12</v>
      </c>
      <c r="J28" s="48">
        <f>12140*12</f>
        <v>145680</v>
      </c>
      <c r="K28" s="48" t="s">
        <v>12</v>
      </c>
      <c r="L28" s="48">
        <f>1145*12</f>
        <v>13740</v>
      </c>
      <c r="M28" s="48">
        <f t="shared" si="1"/>
        <v>159420</v>
      </c>
    </row>
    <row r="29" spans="1:13" ht="24">
      <c r="A29" s="46">
        <v>17</v>
      </c>
      <c r="B29" s="159" t="s">
        <v>92</v>
      </c>
      <c r="C29" s="96" t="s">
        <v>28</v>
      </c>
      <c r="D29" s="96" t="s">
        <v>12</v>
      </c>
      <c r="E29" s="96" t="s">
        <v>21</v>
      </c>
      <c r="F29" s="96" t="s">
        <v>12</v>
      </c>
      <c r="G29" s="96" t="s">
        <v>12</v>
      </c>
      <c r="H29" s="96" t="s">
        <v>21</v>
      </c>
      <c r="I29" s="96" t="s">
        <v>12</v>
      </c>
      <c r="J29" s="48">
        <f>11680*12</f>
        <v>140160</v>
      </c>
      <c r="K29" s="48" t="s">
        <v>12</v>
      </c>
      <c r="L29" s="48">
        <f>1605*12</f>
        <v>19260</v>
      </c>
      <c r="M29" s="48">
        <f t="shared" si="1"/>
        <v>159420</v>
      </c>
    </row>
    <row r="30" spans="1:13" ht="24">
      <c r="A30" s="46">
        <v>18</v>
      </c>
      <c r="B30" s="159" t="s">
        <v>93</v>
      </c>
      <c r="C30" s="96" t="s">
        <v>22</v>
      </c>
      <c r="D30" s="96" t="s">
        <v>12</v>
      </c>
      <c r="E30" s="96" t="s">
        <v>26</v>
      </c>
      <c r="F30" s="96" t="s">
        <v>12</v>
      </c>
      <c r="G30" s="96" t="s">
        <v>12</v>
      </c>
      <c r="H30" s="96" t="s">
        <v>26</v>
      </c>
      <c r="I30" s="96" t="s">
        <v>12</v>
      </c>
      <c r="J30" s="48">
        <f>9000*12</f>
        <v>108000</v>
      </c>
      <c r="K30" s="48" t="s">
        <v>12</v>
      </c>
      <c r="L30" s="48">
        <f>1000*12</f>
        <v>12000</v>
      </c>
      <c r="M30" s="48">
        <f t="shared" si="1"/>
        <v>120000</v>
      </c>
    </row>
    <row r="31" spans="1:13" ht="24">
      <c r="A31" s="46">
        <v>19</v>
      </c>
      <c r="B31" s="159" t="s">
        <v>94</v>
      </c>
      <c r="C31" s="96" t="s">
        <v>155</v>
      </c>
      <c r="D31" s="96" t="s">
        <v>12</v>
      </c>
      <c r="E31" s="96" t="s">
        <v>26</v>
      </c>
      <c r="F31" s="96" t="s">
        <v>12</v>
      </c>
      <c r="G31" s="96" t="s">
        <v>12</v>
      </c>
      <c r="H31" s="96" t="s">
        <v>26</v>
      </c>
      <c r="I31" s="96" t="s">
        <v>12</v>
      </c>
      <c r="J31" s="48">
        <f t="shared" ref="J31:J33" si="2">9000*12</f>
        <v>108000</v>
      </c>
      <c r="K31" s="48" t="s">
        <v>12</v>
      </c>
      <c r="L31" s="48">
        <f t="shared" ref="L31:L33" si="3">1000*12</f>
        <v>12000</v>
      </c>
      <c r="M31" s="48">
        <f t="shared" si="1"/>
        <v>120000</v>
      </c>
    </row>
    <row r="32" spans="1:13" ht="24">
      <c r="A32" s="46">
        <v>20</v>
      </c>
      <c r="B32" s="159" t="s">
        <v>95</v>
      </c>
      <c r="C32" s="96" t="s">
        <v>156</v>
      </c>
      <c r="D32" s="96" t="s">
        <v>12</v>
      </c>
      <c r="E32" s="96" t="s">
        <v>26</v>
      </c>
      <c r="F32" s="96" t="s">
        <v>12</v>
      </c>
      <c r="G32" s="96" t="s">
        <v>12</v>
      </c>
      <c r="H32" s="96" t="s">
        <v>26</v>
      </c>
      <c r="I32" s="96" t="s">
        <v>12</v>
      </c>
      <c r="J32" s="48">
        <f t="shared" si="2"/>
        <v>108000</v>
      </c>
      <c r="K32" s="48" t="s">
        <v>12</v>
      </c>
      <c r="L32" s="48">
        <f t="shared" si="3"/>
        <v>12000</v>
      </c>
      <c r="M32" s="48">
        <f t="shared" si="1"/>
        <v>120000</v>
      </c>
    </row>
    <row r="33" spans="1:13" ht="24">
      <c r="A33" s="46">
        <v>21</v>
      </c>
      <c r="B33" s="95" t="s">
        <v>96</v>
      </c>
      <c r="C33" s="96" t="s">
        <v>28</v>
      </c>
      <c r="D33" s="96" t="s">
        <v>12</v>
      </c>
      <c r="E33" s="96" t="s">
        <v>26</v>
      </c>
      <c r="F33" s="96" t="s">
        <v>12</v>
      </c>
      <c r="G33" s="96" t="s">
        <v>12</v>
      </c>
      <c r="H33" s="96" t="s">
        <v>26</v>
      </c>
      <c r="I33" s="96" t="s">
        <v>12</v>
      </c>
      <c r="J33" s="48">
        <f t="shared" si="2"/>
        <v>108000</v>
      </c>
      <c r="K33" s="48" t="s">
        <v>12</v>
      </c>
      <c r="L33" s="48">
        <f t="shared" si="3"/>
        <v>12000</v>
      </c>
      <c r="M33" s="48">
        <f t="shared" si="1"/>
        <v>120000</v>
      </c>
    </row>
    <row r="34" spans="1:13" ht="24">
      <c r="A34" s="46"/>
      <c r="B34" s="57" t="s">
        <v>102</v>
      </c>
      <c r="C34" s="46"/>
      <c r="D34" s="46"/>
      <c r="E34" s="49"/>
      <c r="F34" s="46"/>
      <c r="G34" s="46"/>
      <c r="H34" s="49"/>
      <c r="I34" s="49"/>
      <c r="J34" s="48"/>
      <c r="K34" s="48"/>
      <c r="L34" s="48"/>
      <c r="M34" s="48"/>
    </row>
    <row r="35" spans="1:13" ht="24">
      <c r="A35" s="46">
        <v>22</v>
      </c>
      <c r="B35" s="47" t="s">
        <v>433</v>
      </c>
      <c r="C35" s="46" t="s">
        <v>157</v>
      </c>
      <c r="D35" s="46" t="s">
        <v>417</v>
      </c>
      <c r="E35" s="49" t="s">
        <v>145</v>
      </c>
      <c r="F35" s="46">
        <v>7</v>
      </c>
      <c r="G35" s="46" t="s">
        <v>414</v>
      </c>
      <c r="H35" s="49" t="s">
        <v>145</v>
      </c>
      <c r="I35" s="49" t="s">
        <v>300</v>
      </c>
      <c r="J35" s="48">
        <f>35220*12</f>
        <v>422640</v>
      </c>
      <c r="K35" s="48">
        <f>1500*9</f>
        <v>13500</v>
      </c>
      <c r="L35" s="48" t="s">
        <v>12</v>
      </c>
      <c r="M35" s="48">
        <f>SUM(J35:L35)</f>
        <v>436140</v>
      </c>
    </row>
    <row r="36" spans="1:13" ht="24">
      <c r="A36" s="46"/>
      <c r="B36" s="47"/>
      <c r="C36" s="46"/>
      <c r="D36" s="52"/>
      <c r="E36" s="49" t="s">
        <v>141</v>
      </c>
      <c r="F36" s="46"/>
      <c r="G36" s="46"/>
      <c r="H36" s="49" t="s">
        <v>141</v>
      </c>
      <c r="I36" s="49"/>
      <c r="J36" s="48"/>
      <c r="K36" s="48"/>
      <c r="L36" s="48"/>
      <c r="M36" s="48"/>
    </row>
    <row r="37" spans="1:13" ht="24">
      <c r="A37" s="46"/>
      <c r="B37" s="59" t="s">
        <v>103</v>
      </c>
      <c r="C37" s="46"/>
      <c r="D37" s="160"/>
      <c r="E37" s="49"/>
      <c r="F37" s="46"/>
      <c r="G37" s="46"/>
      <c r="H37" s="49"/>
      <c r="I37" s="49"/>
      <c r="J37" s="48"/>
      <c r="K37" s="48"/>
      <c r="L37" s="48"/>
      <c r="M37" s="48"/>
    </row>
    <row r="38" spans="1:13" ht="24">
      <c r="A38" s="46">
        <v>23</v>
      </c>
      <c r="B38" s="46" t="s">
        <v>12</v>
      </c>
      <c r="C38" s="46" t="s">
        <v>12</v>
      </c>
      <c r="D38" s="46" t="s">
        <v>427</v>
      </c>
      <c r="E38" s="49" t="s">
        <v>142</v>
      </c>
      <c r="F38" s="46" t="s">
        <v>397</v>
      </c>
      <c r="G38" s="49" t="s">
        <v>430</v>
      </c>
      <c r="H38" s="49" t="s">
        <v>142</v>
      </c>
      <c r="I38" s="49" t="s">
        <v>399</v>
      </c>
      <c r="J38" s="48" t="s">
        <v>12</v>
      </c>
      <c r="K38" s="48" t="s">
        <v>12</v>
      </c>
      <c r="L38" s="48" t="s">
        <v>12</v>
      </c>
      <c r="M38" s="48" t="s">
        <v>307</v>
      </c>
    </row>
    <row r="39" spans="1:13" ht="24">
      <c r="A39" s="65">
        <v>24</v>
      </c>
      <c r="B39" s="161" t="s">
        <v>104</v>
      </c>
      <c r="C39" s="162" t="s">
        <v>24</v>
      </c>
      <c r="D39" s="162" t="s">
        <v>12</v>
      </c>
      <c r="E39" s="163" t="s">
        <v>146</v>
      </c>
      <c r="F39" s="65" t="s">
        <v>12</v>
      </c>
      <c r="G39" s="65" t="s">
        <v>12</v>
      </c>
      <c r="H39" s="163" t="s">
        <v>146</v>
      </c>
      <c r="I39" s="68" t="s">
        <v>12</v>
      </c>
      <c r="J39" s="69">
        <f>19570*12</f>
        <v>234840</v>
      </c>
      <c r="K39" s="69" t="s">
        <v>12</v>
      </c>
      <c r="L39" s="69" t="s">
        <v>12</v>
      </c>
      <c r="M39" s="69"/>
    </row>
    <row r="40" spans="1:13" ht="24">
      <c r="A40" s="39">
        <v>25</v>
      </c>
      <c r="B40" s="164" t="s">
        <v>105</v>
      </c>
      <c r="C40" s="165" t="s">
        <v>28</v>
      </c>
      <c r="D40" s="165" t="s">
        <v>12</v>
      </c>
      <c r="E40" s="166" t="s">
        <v>146</v>
      </c>
      <c r="F40" s="39" t="s">
        <v>12</v>
      </c>
      <c r="G40" s="39" t="s">
        <v>12</v>
      </c>
      <c r="H40" s="166" t="s">
        <v>146</v>
      </c>
      <c r="I40" s="167" t="s">
        <v>12</v>
      </c>
      <c r="J40" s="168">
        <f>19220*12</f>
        <v>230640</v>
      </c>
      <c r="K40" s="45" t="s">
        <v>12</v>
      </c>
      <c r="L40" s="45" t="s">
        <v>12</v>
      </c>
      <c r="M40" s="168"/>
    </row>
    <row r="41" spans="1:13" ht="24">
      <c r="A41" s="169">
        <v>26</v>
      </c>
      <c r="B41" s="159" t="s">
        <v>106</v>
      </c>
      <c r="C41" s="170" t="s">
        <v>28</v>
      </c>
      <c r="D41" s="170" t="s">
        <v>12</v>
      </c>
      <c r="E41" s="171" t="s">
        <v>146</v>
      </c>
      <c r="F41" s="169" t="s">
        <v>12</v>
      </c>
      <c r="G41" s="169" t="s">
        <v>12</v>
      </c>
      <c r="H41" s="171" t="s">
        <v>146</v>
      </c>
      <c r="I41" s="172" t="s">
        <v>12</v>
      </c>
      <c r="J41" s="173">
        <f>19060*12</f>
        <v>228720</v>
      </c>
      <c r="K41" s="48" t="s">
        <v>12</v>
      </c>
      <c r="L41" s="48" t="s">
        <v>12</v>
      </c>
      <c r="M41" s="173"/>
    </row>
    <row r="42" spans="1:13" ht="24">
      <c r="A42" s="169">
        <v>27</v>
      </c>
      <c r="B42" s="159" t="s">
        <v>107</v>
      </c>
      <c r="C42" s="170" t="s">
        <v>19</v>
      </c>
      <c r="D42" s="170" t="s">
        <v>12</v>
      </c>
      <c r="E42" s="171" t="s">
        <v>147</v>
      </c>
      <c r="F42" s="169" t="s">
        <v>12</v>
      </c>
      <c r="G42" s="169" t="s">
        <v>12</v>
      </c>
      <c r="H42" s="171" t="s">
        <v>147</v>
      </c>
      <c r="I42" s="172" t="s">
        <v>12</v>
      </c>
      <c r="J42" s="173">
        <f>12520*12</f>
        <v>150240</v>
      </c>
      <c r="K42" s="48" t="s">
        <v>12</v>
      </c>
      <c r="L42" s="48">
        <f>765*12</f>
        <v>9180</v>
      </c>
      <c r="M42" s="173">
        <f>J42+L42</f>
        <v>159420</v>
      </c>
    </row>
    <row r="43" spans="1:13" ht="24">
      <c r="A43" s="169">
        <v>28</v>
      </c>
      <c r="B43" s="159" t="s">
        <v>108</v>
      </c>
      <c r="C43" s="170" t="s">
        <v>22</v>
      </c>
      <c r="D43" s="170" t="s">
        <v>12</v>
      </c>
      <c r="E43" s="170" t="s">
        <v>147</v>
      </c>
      <c r="F43" s="169" t="s">
        <v>12</v>
      </c>
      <c r="G43" s="169" t="s">
        <v>12</v>
      </c>
      <c r="H43" s="170" t="s">
        <v>147</v>
      </c>
      <c r="I43" s="172" t="s">
        <v>12</v>
      </c>
      <c r="J43" s="173">
        <f>11050*12</f>
        <v>132600</v>
      </c>
      <c r="K43" s="48" t="s">
        <v>12</v>
      </c>
      <c r="L43" s="48">
        <f>2000*12</f>
        <v>24000</v>
      </c>
      <c r="M43" s="173">
        <f>J43+L43</f>
        <v>156600</v>
      </c>
    </row>
    <row r="44" spans="1:13" ht="24">
      <c r="A44" s="169">
        <v>29</v>
      </c>
      <c r="B44" s="174" t="s">
        <v>12</v>
      </c>
      <c r="C44" s="174" t="s">
        <v>12</v>
      </c>
      <c r="D44" s="174" t="s">
        <v>12</v>
      </c>
      <c r="E44" s="174" t="s">
        <v>148</v>
      </c>
      <c r="F44" s="169" t="s">
        <v>12</v>
      </c>
      <c r="G44" s="169" t="s">
        <v>12</v>
      </c>
      <c r="H44" s="174" t="s">
        <v>148</v>
      </c>
      <c r="I44" s="172" t="s">
        <v>12</v>
      </c>
      <c r="J44" s="172" t="s">
        <v>12</v>
      </c>
      <c r="K44" s="48" t="s">
        <v>12</v>
      </c>
      <c r="L44" s="48" t="s">
        <v>12</v>
      </c>
      <c r="M44" s="173" t="s">
        <v>307</v>
      </c>
    </row>
    <row r="45" spans="1:13" ht="24">
      <c r="A45" s="169">
        <v>30</v>
      </c>
      <c r="B45" s="159" t="s">
        <v>109</v>
      </c>
      <c r="C45" s="170" t="s">
        <v>28</v>
      </c>
      <c r="D45" s="170" t="s">
        <v>12</v>
      </c>
      <c r="E45" s="170" t="s">
        <v>148</v>
      </c>
      <c r="F45" s="169" t="s">
        <v>12</v>
      </c>
      <c r="G45" s="169" t="s">
        <v>12</v>
      </c>
      <c r="H45" s="170" t="s">
        <v>148</v>
      </c>
      <c r="I45" s="172" t="s">
        <v>12</v>
      </c>
      <c r="J45" s="173">
        <f>12030*12</f>
        <v>144360</v>
      </c>
      <c r="K45" s="48" t="s">
        <v>12</v>
      </c>
      <c r="L45" s="48">
        <f>1255*12</f>
        <v>15060</v>
      </c>
      <c r="M45" s="173">
        <f>J45+L45</f>
        <v>159420</v>
      </c>
    </row>
    <row r="46" spans="1:13" ht="24">
      <c r="A46" s="169">
        <v>31</v>
      </c>
      <c r="B46" s="159" t="s">
        <v>110</v>
      </c>
      <c r="C46" s="170" t="s">
        <v>19</v>
      </c>
      <c r="D46" s="170" t="s">
        <v>12</v>
      </c>
      <c r="E46" s="170" t="s">
        <v>26</v>
      </c>
      <c r="F46" s="169" t="s">
        <v>12</v>
      </c>
      <c r="G46" s="169" t="s">
        <v>12</v>
      </c>
      <c r="H46" s="170" t="s">
        <v>26</v>
      </c>
      <c r="I46" s="172" t="s">
        <v>12</v>
      </c>
      <c r="J46" s="173">
        <f>9000*12</f>
        <v>108000</v>
      </c>
      <c r="K46" s="48" t="s">
        <v>12</v>
      </c>
      <c r="L46" s="48">
        <f>1000*12</f>
        <v>12000</v>
      </c>
      <c r="M46" s="173">
        <f t="shared" ref="M46:M49" si="4">J46+L46</f>
        <v>120000</v>
      </c>
    </row>
    <row r="47" spans="1:13" ht="24">
      <c r="A47" s="169">
        <v>32</v>
      </c>
      <c r="B47" s="159" t="s">
        <v>111</v>
      </c>
      <c r="C47" s="170" t="s">
        <v>24</v>
      </c>
      <c r="D47" s="170" t="s">
        <v>12</v>
      </c>
      <c r="E47" s="170" t="s">
        <v>26</v>
      </c>
      <c r="F47" s="169" t="s">
        <v>12</v>
      </c>
      <c r="G47" s="169" t="s">
        <v>12</v>
      </c>
      <c r="H47" s="170" t="s">
        <v>26</v>
      </c>
      <c r="I47" s="172" t="s">
        <v>12</v>
      </c>
      <c r="J47" s="173">
        <f t="shared" ref="J47:J49" si="5">9000*12</f>
        <v>108000</v>
      </c>
      <c r="K47" s="48" t="s">
        <v>12</v>
      </c>
      <c r="L47" s="48">
        <f t="shared" ref="L47:L49" si="6">1000*12</f>
        <v>12000</v>
      </c>
      <c r="M47" s="173">
        <f t="shared" si="4"/>
        <v>120000</v>
      </c>
    </row>
    <row r="48" spans="1:13" ht="24">
      <c r="A48" s="169">
        <v>33</v>
      </c>
      <c r="B48" s="159" t="s">
        <v>112</v>
      </c>
      <c r="C48" s="170" t="s">
        <v>24</v>
      </c>
      <c r="D48" s="170" t="s">
        <v>12</v>
      </c>
      <c r="E48" s="170" t="s">
        <v>26</v>
      </c>
      <c r="F48" s="169" t="s">
        <v>12</v>
      </c>
      <c r="G48" s="169" t="s">
        <v>12</v>
      </c>
      <c r="H48" s="170" t="s">
        <v>26</v>
      </c>
      <c r="I48" s="172" t="s">
        <v>12</v>
      </c>
      <c r="J48" s="173">
        <f t="shared" si="5"/>
        <v>108000</v>
      </c>
      <c r="K48" s="48" t="s">
        <v>12</v>
      </c>
      <c r="L48" s="48">
        <f t="shared" si="6"/>
        <v>12000</v>
      </c>
      <c r="M48" s="173">
        <f t="shared" si="4"/>
        <v>120000</v>
      </c>
    </row>
    <row r="49" spans="1:13" ht="24">
      <c r="A49" s="169">
        <v>34</v>
      </c>
      <c r="B49" s="175" t="s">
        <v>113</v>
      </c>
      <c r="C49" s="176" t="s">
        <v>155</v>
      </c>
      <c r="D49" s="176" t="s">
        <v>12</v>
      </c>
      <c r="E49" s="176" t="s">
        <v>26</v>
      </c>
      <c r="F49" s="169" t="s">
        <v>12</v>
      </c>
      <c r="G49" s="169" t="s">
        <v>12</v>
      </c>
      <c r="H49" s="176" t="s">
        <v>26</v>
      </c>
      <c r="I49" s="172" t="s">
        <v>12</v>
      </c>
      <c r="J49" s="173">
        <f t="shared" si="5"/>
        <v>108000</v>
      </c>
      <c r="K49" s="48" t="s">
        <v>12</v>
      </c>
      <c r="L49" s="48">
        <f t="shared" si="6"/>
        <v>12000</v>
      </c>
      <c r="M49" s="173">
        <f t="shared" si="4"/>
        <v>120000</v>
      </c>
    </row>
    <row r="50" spans="1:13" ht="24">
      <c r="A50" s="169"/>
      <c r="B50" s="177" t="s">
        <v>114</v>
      </c>
      <c r="C50" s="96"/>
      <c r="D50" s="96"/>
      <c r="E50" s="96"/>
      <c r="F50" s="169"/>
      <c r="G50" s="172"/>
      <c r="H50" s="172"/>
      <c r="I50" s="172"/>
      <c r="J50" s="173"/>
      <c r="K50" s="173"/>
      <c r="L50" s="173"/>
      <c r="M50" s="173"/>
    </row>
    <row r="51" spans="1:13" ht="24">
      <c r="A51" s="169">
        <v>35</v>
      </c>
      <c r="B51" s="95" t="s">
        <v>115</v>
      </c>
      <c r="C51" s="96" t="s">
        <v>158</v>
      </c>
      <c r="D51" s="170" t="s">
        <v>435</v>
      </c>
      <c r="E51" s="96" t="s">
        <v>436</v>
      </c>
      <c r="F51" s="169" t="s">
        <v>312</v>
      </c>
      <c r="G51" s="49" t="s">
        <v>437</v>
      </c>
      <c r="H51" s="96" t="s">
        <v>436</v>
      </c>
      <c r="I51" s="172" t="s">
        <v>316</v>
      </c>
      <c r="J51" s="173">
        <f>22920*12</f>
        <v>275040</v>
      </c>
      <c r="K51" s="173" t="s">
        <v>12</v>
      </c>
      <c r="L51" s="173" t="s">
        <v>12</v>
      </c>
      <c r="M51" s="173"/>
    </row>
    <row r="52" spans="1:13" ht="24">
      <c r="A52" s="169">
        <v>36</v>
      </c>
      <c r="B52" s="95" t="s">
        <v>116</v>
      </c>
      <c r="C52" s="96" t="s">
        <v>27</v>
      </c>
      <c r="D52" s="96" t="s">
        <v>12</v>
      </c>
      <c r="E52" s="96" t="s">
        <v>26</v>
      </c>
      <c r="F52" s="96" t="s">
        <v>12</v>
      </c>
      <c r="G52" s="96" t="s">
        <v>12</v>
      </c>
      <c r="H52" s="96" t="s">
        <v>26</v>
      </c>
      <c r="I52" s="96" t="s">
        <v>12</v>
      </c>
      <c r="J52" s="173">
        <f>9000*12</f>
        <v>108000</v>
      </c>
      <c r="K52" s="173" t="s">
        <v>12</v>
      </c>
      <c r="L52" s="173">
        <f>1000*12</f>
        <v>12000</v>
      </c>
      <c r="M52" s="173">
        <f>J52+L52</f>
        <v>120000</v>
      </c>
    </row>
    <row r="53" spans="1:13" ht="24">
      <c r="A53" s="169">
        <v>37</v>
      </c>
      <c r="B53" s="159" t="s">
        <v>117</v>
      </c>
      <c r="C53" s="96" t="s">
        <v>19</v>
      </c>
      <c r="D53" s="96" t="s">
        <v>12</v>
      </c>
      <c r="E53" s="96" t="s">
        <v>26</v>
      </c>
      <c r="F53" s="96" t="s">
        <v>12</v>
      </c>
      <c r="G53" s="96" t="s">
        <v>12</v>
      </c>
      <c r="H53" s="96" t="s">
        <v>26</v>
      </c>
      <c r="I53" s="96" t="s">
        <v>12</v>
      </c>
      <c r="J53" s="173">
        <f t="shared" ref="J53:J64" si="7">9000*12</f>
        <v>108000</v>
      </c>
      <c r="K53" s="173" t="s">
        <v>12</v>
      </c>
      <c r="L53" s="173">
        <f t="shared" ref="L53:L64" si="8">1000*12</f>
        <v>12000</v>
      </c>
      <c r="M53" s="173">
        <f t="shared" ref="M53:M64" si="9">J53+L53</f>
        <v>120000</v>
      </c>
    </row>
    <row r="54" spans="1:13" ht="24">
      <c r="A54" s="169">
        <v>38</v>
      </c>
      <c r="B54" s="159" t="s">
        <v>118</v>
      </c>
      <c r="C54" s="96" t="s">
        <v>28</v>
      </c>
      <c r="D54" s="96" t="s">
        <v>12</v>
      </c>
      <c r="E54" s="96" t="s">
        <v>26</v>
      </c>
      <c r="F54" s="96" t="s">
        <v>12</v>
      </c>
      <c r="G54" s="96" t="s">
        <v>12</v>
      </c>
      <c r="H54" s="96" t="s">
        <v>26</v>
      </c>
      <c r="I54" s="96" t="s">
        <v>12</v>
      </c>
      <c r="J54" s="173">
        <f t="shared" si="7"/>
        <v>108000</v>
      </c>
      <c r="K54" s="173" t="s">
        <v>12</v>
      </c>
      <c r="L54" s="173">
        <f t="shared" si="8"/>
        <v>12000</v>
      </c>
      <c r="M54" s="173">
        <f t="shared" si="9"/>
        <v>120000</v>
      </c>
    </row>
    <row r="55" spans="1:13" ht="24">
      <c r="A55" s="65">
        <v>39</v>
      </c>
      <c r="B55" s="161" t="s">
        <v>119</v>
      </c>
      <c r="C55" s="101" t="s">
        <v>28</v>
      </c>
      <c r="D55" s="101" t="s">
        <v>12</v>
      </c>
      <c r="E55" s="101" t="s">
        <v>26</v>
      </c>
      <c r="F55" s="101" t="s">
        <v>12</v>
      </c>
      <c r="G55" s="101" t="s">
        <v>12</v>
      </c>
      <c r="H55" s="101" t="s">
        <v>26</v>
      </c>
      <c r="I55" s="101" t="s">
        <v>12</v>
      </c>
      <c r="J55" s="69">
        <f t="shared" si="7"/>
        <v>108000</v>
      </c>
      <c r="K55" s="69" t="s">
        <v>12</v>
      </c>
      <c r="L55" s="69">
        <f t="shared" si="8"/>
        <v>12000</v>
      </c>
      <c r="M55" s="69">
        <f t="shared" si="9"/>
        <v>120000</v>
      </c>
    </row>
    <row r="56" spans="1:13" ht="24">
      <c r="A56" s="39">
        <v>40</v>
      </c>
      <c r="B56" s="164" t="s">
        <v>120</v>
      </c>
      <c r="C56" s="103" t="s">
        <v>25</v>
      </c>
      <c r="D56" s="103" t="s">
        <v>12</v>
      </c>
      <c r="E56" s="103" t="s">
        <v>26</v>
      </c>
      <c r="F56" s="103" t="s">
        <v>12</v>
      </c>
      <c r="G56" s="103" t="s">
        <v>12</v>
      </c>
      <c r="H56" s="103" t="s">
        <v>26</v>
      </c>
      <c r="I56" s="103" t="s">
        <v>12</v>
      </c>
      <c r="J56" s="168">
        <f t="shared" si="7"/>
        <v>108000</v>
      </c>
      <c r="K56" s="168" t="s">
        <v>12</v>
      </c>
      <c r="L56" s="168">
        <f t="shared" si="8"/>
        <v>12000</v>
      </c>
      <c r="M56" s="168">
        <f t="shared" si="9"/>
        <v>120000</v>
      </c>
    </row>
    <row r="57" spans="1:13" ht="24">
      <c r="A57" s="169">
        <v>41</v>
      </c>
      <c r="B57" s="159" t="s">
        <v>121</v>
      </c>
      <c r="C57" s="96" t="s">
        <v>19</v>
      </c>
      <c r="D57" s="96" t="s">
        <v>12</v>
      </c>
      <c r="E57" s="96" t="s">
        <v>26</v>
      </c>
      <c r="F57" s="96" t="s">
        <v>12</v>
      </c>
      <c r="G57" s="96" t="s">
        <v>12</v>
      </c>
      <c r="H57" s="96" t="s">
        <v>26</v>
      </c>
      <c r="I57" s="96" t="s">
        <v>12</v>
      </c>
      <c r="J57" s="173">
        <f t="shared" si="7"/>
        <v>108000</v>
      </c>
      <c r="K57" s="173" t="s">
        <v>12</v>
      </c>
      <c r="L57" s="173">
        <f t="shared" si="8"/>
        <v>12000</v>
      </c>
      <c r="M57" s="173">
        <f t="shared" si="9"/>
        <v>120000</v>
      </c>
    </row>
    <row r="58" spans="1:13" ht="24">
      <c r="A58" s="169">
        <v>42</v>
      </c>
      <c r="B58" s="159" t="s">
        <v>122</v>
      </c>
      <c r="C58" s="96" t="s">
        <v>27</v>
      </c>
      <c r="D58" s="96" t="s">
        <v>12</v>
      </c>
      <c r="E58" s="96" t="s">
        <v>26</v>
      </c>
      <c r="F58" s="96" t="s">
        <v>12</v>
      </c>
      <c r="G58" s="96" t="s">
        <v>12</v>
      </c>
      <c r="H58" s="96" t="s">
        <v>26</v>
      </c>
      <c r="I58" s="96" t="s">
        <v>12</v>
      </c>
      <c r="J58" s="173">
        <f t="shared" si="7"/>
        <v>108000</v>
      </c>
      <c r="K58" s="173" t="s">
        <v>12</v>
      </c>
      <c r="L58" s="173">
        <f t="shared" si="8"/>
        <v>12000</v>
      </c>
      <c r="M58" s="173">
        <f t="shared" si="9"/>
        <v>120000</v>
      </c>
    </row>
    <row r="59" spans="1:13" ht="24">
      <c r="A59" s="169">
        <v>43</v>
      </c>
      <c r="B59" s="159" t="s">
        <v>123</v>
      </c>
      <c r="C59" s="96" t="s">
        <v>19</v>
      </c>
      <c r="D59" s="96" t="s">
        <v>12</v>
      </c>
      <c r="E59" s="96" t="s">
        <v>26</v>
      </c>
      <c r="F59" s="96" t="s">
        <v>12</v>
      </c>
      <c r="G59" s="96" t="s">
        <v>12</v>
      </c>
      <c r="H59" s="96" t="s">
        <v>26</v>
      </c>
      <c r="I59" s="96" t="s">
        <v>12</v>
      </c>
      <c r="J59" s="173">
        <f t="shared" si="7"/>
        <v>108000</v>
      </c>
      <c r="K59" s="173" t="s">
        <v>12</v>
      </c>
      <c r="L59" s="173">
        <f t="shared" si="8"/>
        <v>12000</v>
      </c>
      <c r="M59" s="173">
        <f t="shared" si="9"/>
        <v>120000</v>
      </c>
    </row>
    <row r="60" spans="1:13" ht="24">
      <c r="A60" s="169">
        <v>44</v>
      </c>
      <c r="B60" s="159" t="s">
        <v>124</v>
      </c>
      <c r="C60" s="96" t="s">
        <v>28</v>
      </c>
      <c r="D60" s="96" t="s">
        <v>12</v>
      </c>
      <c r="E60" s="96" t="s">
        <v>26</v>
      </c>
      <c r="F60" s="96" t="s">
        <v>12</v>
      </c>
      <c r="G60" s="96" t="s">
        <v>12</v>
      </c>
      <c r="H60" s="96" t="s">
        <v>26</v>
      </c>
      <c r="I60" s="96" t="s">
        <v>12</v>
      </c>
      <c r="J60" s="173">
        <f t="shared" si="7"/>
        <v>108000</v>
      </c>
      <c r="K60" s="173" t="s">
        <v>12</v>
      </c>
      <c r="L60" s="173">
        <f t="shared" si="8"/>
        <v>12000</v>
      </c>
      <c r="M60" s="173">
        <f t="shared" si="9"/>
        <v>120000</v>
      </c>
    </row>
    <row r="61" spans="1:13" ht="24">
      <c r="A61" s="169">
        <v>45</v>
      </c>
      <c r="B61" s="159" t="s">
        <v>125</v>
      </c>
      <c r="C61" s="96" t="s">
        <v>28</v>
      </c>
      <c r="D61" s="96" t="s">
        <v>12</v>
      </c>
      <c r="E61" s="96" t="s">
        <v>26</v>
      </c>
      <c r="F61" s="96" t="s">
        <v>12</v>
      </c>
      <c r="G61" s="96" t="s">
        <v>12</v>
      </c>
      <c r="H61" s="96" t="s">
        <v>26</v>
      </c>
      <c r="I61" s="96" t="s">
        <v>12</v>
      </c>
      <c r="J61" s="173">
        <f t="shared" si="7"/>
        <v>108000</v>
      </c>
      <c r="K61" s="173" t="s">
        <v>12</v>
      </c>
      <c r="L61" s="173">
        <f t="shared" si="8"/>
        <v>12000</v>
      </c>
      <c r="M61" s="173">
        <f t="shared" si="9"/>
        <v>120000</v>
      </c>
    </row>
    <row r="62" spans="1:13" ht="24">
      <c r="A62" s="169">
        <v>46</v>
      </c>
      <c r="B62" s="159" t="s">
        <v>126</v>
      </c>
      <c r="C62" s="96" t="s">
        <v>19</v>
      </c>
      <c r="D62" s="96" t="s">
        <v>12</v>
      </c>
      <c r="E62" s="96" t="s">
        <v>26</v>
      </c>
      <c r="F62" s="96" t="s">
        <v>12</v>
      </c>
      <c r="G62" s="96" t="s">
        <v>12</v>
      </c>
      <c r="H62" s="96" t="s">
        <v>26</v>
      </c>
      <c r="I62" s="96" t="s">
        <v>12</v>
      </c>
      <c r="J62" s="173">
        <f t="shared" si="7"/>
        <v>108000</v>
      </c>
      <c r="K62" s="173" t="s">
        <v>12</v>
      </c>
      <c r="L62" s="173">
        <f t="shared" si="8"/>
        <v>12000</v>
      </c>
      <c r="M62" s="173">
        <f t="shared" si="9"/>
        <v>120000</v>
      </c>
    </row>
    <row r="63" spans="1:13" ht="24">
      <c r="A63" s="169">
        <v>47</v>
      </c>
      <c r="B63" s="159" t="s">
        <v>127</v>
      </c>
      <c r="C63" s="96" t="s">
        <v>28</v>
      </c>
      <c r="D63" s="96" t="s">
        <v>12</v>
      </c>
      <c r="E63" s="96" t="s">
        <v>26</v>
      </c>
      <c r="F63" s="96" t="s">
        <v>12</v>
      </c>
      <c r="G63" s="96" t="s">
        <v>12</v>
      </c>
      <c r="H63" s="96" t="s">
        <v>26</v>
      </c>
      <c r="I63" s="96" t="s">
        <v>12</v>
      </c>
      <c r="J63" s="173">
        <f t="shared" si="7"/>
        <v>108000</v>
      </c>
      <c r="K63" s="173" t="s">
        <v>12</v>
      </c>
      <c r="L63" s="173">
        <f t="shared" si="8"/>
        <v>12000</v>
      </c>
      <c r="M63" s="173">
        <f t="shared" si="9"/>
        <v>120000</v>
      </c>
    </row>
    <row r="64" spans="1:13" ht="24">
      <c r="A64" s="169">
        <v>48</v>
      </c>
      <c r="B64" s="159" t="s">
        <v>128</v>
      </c>
      <c r="C64" s="96" t="s">
        <v>24</v>
      </c>
      <c r="D64" s="96" t="s">
        <v>12</v>
      </c>
      <c r="E64" s="96" t="s">
        <v>26</v>
      </c>
      <c r="F64" s="96" t="s">
        <v>12</v>
      </c>
      <c r="G64" s="96" t="s">
        <v>12</v>
      </c>
      <c r="H64" s="96" t="s">
        <v>26</v>
      </c>
      <c r="I64" s="96" t="s">
        <v>12</v>
      </c>
      <c r="J64" s="173">
        <f t="shared" si="7"/>
        <v>108000</v>
      </c>
      <c r="K64" s="173" t="s">
        <v>12</v>
      </c>
      <c r="L64" s="173">
        <f t="shared" si="8"/>
        <v>12000</v>
      </c>
      <c r="M64" s="173">
        <f t="shared" si="9"/>
        <v>120000</v>
      </c>
    </row>
    <row r="65" spans="1:13" ht="24">
      <c r="A65" s="169"/>
      <c r="B65" s="210" t="s">
        <v>129</v>
      </c>
      <c r="C65" s="211"/>
      <c r="D65" s="96"/>
      <c r="E65" s="96"/>
      <c r="F65" s="96"/>
      <c r="G65" s="96"/>
      <c r="H65" s="96"/>
      <c r="I65" s="96"/>
      <c r="J65" s="173"/>
      <c r="K65" s="173"/>
      <c r="L65" s="173"/>
      <c r="M65" s="173"/>
    </row>
    <row r="66" spans="1:13" ht="24">
      <c r="A66" s="169">
        <v>49</v>
      </c>
      <c r="B66" s="159" t="s">
        <v>130</v>
      </c>
      <c r="C66" s="170" t="s">
        <v>51</v>
      </c>
      <c r="D66" s="170" t="s">
        <v>438</v>
      </c>
      <c r="E66" s="170" t="s">
        <v>149</v>
      </c>
      <c r="F66" s="179">
        <v>4</v>
      </c>
      <c r="G66" s="49" t="s">
        <v>440</v>
      </c>
      <c r="H66" s="170" t="s">
        <v>149</v>
      </c>
      <c r="I66" s="170" t="s">
        <v>439</v>
      </c>
      <c r="J66" s="173">
        <f>16340*12</f>
        <v>196080</v>
      </c>
      <c r="K66" s="173" t="s">
        <v>12</v>
      </c>
      <c r="L66" s="173" t="s">
        <v>12</v>
      </c>
      <c r="M66" s="173"/>
    </row>
    <row r="67" spans="1:13" ht="24">
      <c r="A67" s="169">
        <v>50</v>
      </c>
      <c r="B67" s="159" t="s">
        <v>131</v>
      </c>
      <c r="C67" s="170" t="s">
        <v>51</v>
      </c>
      <c r="D67" s="170" t="s">
        <v>12</v>
      </c>
      <c r="E67" s="170" t="s">
        <v>150</v>
      </c>
      <c r="F67" s="170" t="s">
        <v>12</v>
      </c>
      <c r="G67" s="170" t="s">
        <v>12</v>
      </c>
      <c r="H67" s="170" t="s">
        <v>150</v>
      </c>
      <c r="I67" s="170" t="s">
        <v>12</v>
      </c>
      <c r="J67" s="173">
        <f>11150*12</f>
        <v>133800</v>
      </c>
      <c r="K67" s="173" t="s">
        <v>12</v>
      </c>
      <c r="L67" s="173">
        <f>2000*12</f>
        <v>24000</v>
      </c>
      <c r="M67" s="173">
        <f>J67+L67</f>
        <v>157800</v>
      </c>
    </row>
    <row r="68" spans="1:13" ht="24">
      <c r="A68" s="169">
        <v>51</v>
      </c>
      <c r="B68" s="159" t="s">
        <v>132</v>
      </c>
      <c r="C68" s="170" t="s">
        <v>22</v>
      </c>
      <c r="D68" s="170" t="s">
        <v>12</v>
      </c>
      <c r="E68" s="170" t="s">
        <v>150</v>
      </c>
      <c r="F68" s="170" t="s">
        <v>12</v>
      </c>
      <c r="G68" s="170" t="s">
        <v>12</v>
      </c>
      <c r="H68" s="170" t="s">
        <v>150</v>
      </c>
      <c r="I68" s="170" t="s">
        <v>12</v>
      </c>
      <c r="J68" s="173">
        <f>10930*12</f>
        <v>131160</v>
      </c>
      <c r="K68" s="173" t="s">
        <v>12</v>
      </c>
      <c r="L68" s="173">
        <f>2000*12</f>
        <v>24000</v>
      </c>
      <c r="M68" s="173">
        <f t="shared" ref="M68:M70" si="10">J68+L68</f>
        <v>155160</v>
      </c>
    </row>
    <row r="69" spans="1:13" ht="24">
      <c r="A69" s="169">
        <v>52</v>
      </c>
      <c r="B69" s="159" t="s">
        <v>133</v>
      </c>
      <c r="C69" s="170" t="s">
        <v>19</v>
      </c>
      <c r="D69" s="170" t="s">
        <v>12</v>
      </c>
      <c r="E69" s="170" t="s">
        <v>26</v>
      </c>
      <c r="F69" s="170" t="s">
        <v>12</v>
      </c>
      <c r="G69" s="170" t="s">
        <v>12</v>
      </c>
      <c r="H69" s="170" t="s">
        <v>26</v>
      </c>
      <c r="I69" s="170" t="s">
        <v>12</v>
      </c>
      <c r="J69" s="173">
        <f>9000*12</f>
        <v>108000</v>
      </c>
      <c r="K69" s="173" t="s">
        <v>12</v>
      </c>
      <c r="L69" s="173">
        <f>1000*12</f>
        <v>12000</v>
      </c>
      <c r="M69" s="173">
        <f t="shared" si="10"/>
        <v>120000</v>
      </c>
    </row>
    <row r="70" spans="1:13" ht="24">
      <c r="A70" s="169">
        <v>53</v>
      </c>
      <c r="B70" s="159" t="s">
        <v>134</v>
      </c>
      <c r="C70" s="170" t="s">
        <v>24</v>
      </c>
      <c r="D70" s="170" t="s">
        <v>12</v>
      </c>
      <c r="E70" s="170" t="s">
        <v>26</v>
      </c>
      <c r="F70" s="170" t="s">
        <v>12</v>
      </c>
      <c r="G70" s="170" t="s">
        <v>12</v>
      </c>
      <c r="H70" s="170" t="s">
        <v>26</v>
      </c>
      <c r="I70" s="170" t="s">
        <v>12</v>
      </c>
      <c r="J70" s="173">
        <f>9000*12</f>
        <v>108000</v>
      </c>
      <c r="K70" s="173" t="s">
        <v>12</v>
      </c>
      <c r="L70" s="173">
        <f>1000*12</f>
        <v>12000</v>
      </c>
      <c r="M70" s="173">
        <f t="shared" si="10"/>
        <v>120000</v>
      </c>
    </row>
    <row r="71" spans="1:13" ht="24">
      <c r="A71" s="65">
        <v>54</v>
      </c>
      <c r="B71" s="162" t="s">
        <v>12</v>
      </c>
      <c r="C71" s="162" t="s">
        <v>12</v>
      </c>
      <c r="D71" s="162" t="s">
        <v>12</v>
      </c>
      <c r="E71" s="162" t="s">
        <v>26</v>
      </c>
      <c r="F71" s="162" t="s">
        <v>12</v>
      </c>
      <c r="G71" s="162" t="s">
        <v>12</v>
      </c>
      <c r="H71" s="162" t="s">
        <v>26</v>
      </c>
      <c r="I71" s="162" t="s">
        <v>12</v>
      </c>
      <c r="J71" s="69" t="s">
        <v>12</v>
      </c>
      <c r="K71" s="69" t="s">
        <v>12</v>
      </c>
      <c r="L71" s="69" t="s">
        <v>12</v>
      </c>
      <c r="M71" s="69" t="s">
        <v>307</v>
      </c>
    </row>
    <row r="72" spans="1:13" ht="24">
      <c r="A72" s="39"/>
      <c r="B72" s="180" t="s">
        <v>135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</row>
    <row r="73" spans="1:13" ht="24">
      <c r="A73" s="169">
        <v>55</v>
      </c>
      <c r="B73" s="96" t="s">
        <v>12</v>
      </c>
      <c r="C73" s="96" t="s">
        <v>12</v>
      </c>
      <c r="D73" s="170" t="s">
        <v>434</v>
      </c>
      <c r="E73" s="96" t="s">
        <v>151</v>
      </c>
      <c r="F73" s="182"/>
      <c r="G73" s="46" t="s">
        <v>420</v>
      </c>
      <c r="H73" s="96" t="s">
        <v>151</v>
      </c>
      <c r="I73" s="96" t="s">
        <v>300</v>
      </c>
      <c r="J73" s="96" t="s">
        <v>12</v>
      </c>
      <c r="K73" s="96" t="s">
        <v>12</v>
      </c>
      <c r="L73" s="96" t="s">
        <v>12</v>
      </c>
      <c r="M73" s="96" t="s">
        <v>307</v>
      </c>
    </row>
    <row r="74" spans="1:13" ht="24">
      <c r="A74" s="169"/>
      <c r="B74" s="183"/>
      <c r="C74" s="184"/>
      <c r="D74" s="184"/>
      <c r="E74" s="184" t="s">
        <v>141</v>
      </c>
      <c r="F74" s="182"/>
      <c r="G74" s="182"/>
      <c r="H74" s="96" t="s">
        <v>141</v>
      </c>
      <c r="I74" s="182"/>
      <c r="J74" s="182"/>
      <c r="K74" s="182"/>
      <c r="L74" s="182"/>
      <c r="M74" s="182"/>
    </row>
    <row r="75" spans="1:13" ht="24">
      <c r="A75" s="169"/>
      <c r="B75" s="185" t="s">
        <v>136</v>
      </c>
      <c r="C75" s="184"/>
      <c r="D75" s="184"/>
      <c r="E75" s="184"/>
      <c r="F75" s="182"/>
      <c r="G75" s="182"/>
      <c r="H75" s="96"/>
      <c r="I75" s="182"/>
      <c r="J75" s="182"/>
      <c r="K75" s="182"/>
      <c r="L75" s="182"/>
      <c r="M75" s="182"/>
    </row>
    <row r="76" spans="1:13" ht="24">
      <c r="A76" s="169">
        <v>56</v>
      </c>
      <c r="B76" s="183" t="s">
        <v>137</v>
      </c>
      <c r="C76" s="184" t="s">
        <v>159</v>
      </c>
      <c r="D76" s="176" t="s">
        <v>441</v>
      </c>
      <c r="E76" s="184" t="s">
        <v>442</v>
      </c>
      <c r="F76" s="184" t="s">
        <v>312</v>
      </c>
      <c r="G76" s="169" t="s">
        <v>443</v>
      </c>
      <c r="H76" s="184" t="s">
        <v>442</v>
      </c>
      <c r="I76" s="176" t="s">
        <v>316</v>
      </c>
      <c r="J76" s="173">
        <f>25660*12</f>
        <v>307920</v>
      </c>
      <c r="K76" s="186" t="s">
        <v>12</v>
      </c>
      <c r="L76" s="186" t="s">
        <v>12</v>
      </c>
      <c r="M76" s="186"/>
    </row>
    <row r="77" spans="1:13" ht="24">
      <c r="A77" s="46">
        <v>57</v>
      </c>
      <c r="B77" s="95" t="s">
        <v>138</v>
      </c>
      <c r="C77" s="96" t="s">
        <v>22</v>
      </c>
      <c r="D77" s="96" t="s">
        <v>12</v>
      </c>
      <c r="E77" s="96" t="s">
        <v>152</v>
      </c>
      <c r="F77" s="96" t="s">
        <v>12</v>
      </c>
      <c r="G77" s="96" t="s">
        <v>12</v>
      </c>
      <c r="H77" s="96" t="s">
        <v>152</v>
      </c>
      <c r="I77" s="49" t="s">
        <v>12</v>
      </c>
      <c r="J77" s="48">
        <f>12140*12</f>
        <v>145680</v>
      </c>
      <c r="K77" s="186" t="s">
        <v>12</v>
      </c>
      <c r="L77" s="173">
        <f>1145*12</f>
        <v>13740</v>
      </c>
      <c r="M77" s="48">
        <f>J77+L77</f>
        <v>159420</v>
      </c>
    </row>
    <row r="78" spans="1:13" ht="24">
      <c r="A78" s="65">
        <v>58</v>
      </c>
      <c r="B78" s="157" t="s">
        <v>139</v>
      </c>
      <c r="C78" s="101" t="s">
        <v>22</v>
      </c>
      <c r="D78" s="101" t="s">
        <v>12</v>
      </c>
      <c r="E78" s="101" t="s">
        <v>153</v>
      </c>
      <c r="F78" s="101" t="s">
        <v>12</v>
      </c>
      <c r="G78" s="101" t="s">
        <v>12</v>
      </c>
      <c r="H78" s="101" t="s">
        <v>153</v>
      </c>
      <c r="I78" s="68" t="s">
        <v>12</v>
      </c>
      <c r="J78" s="69">
        <f>12140*12</f>
        <v>145680</v>
      </c>
      <c r="K78" s="187" t="s">
        <v>12</v>
      </c>
      <c r="L78" s="69">
        <f>1145*12</f>
        <v>13740</v>
      </c>
      <c r="M78" s="69">
        <f>J78+L78</f>
        <v>159420</v>
      </c>
    </row>
  </sheetData>
  <mergeCells count="9">
    <mergeCell ref="B10:C10"/>
    <mergeCell ref="B65:C65"/>
    <mergeCell ref="A1:M1"/>
    <mergeCell ref="A2:M2"/>
    <mergeCell ref="A3:M3"/>
    <mergeCell ref="A4:M4"/>
    <mergeCell ref="D5:F5"/>
    <mergeCell ref="G5:I5"/>
    <mergeCell ref="J5:L5"/>
  </mergeCells>
  <pageMargins left="0.15748031496062992" right="0.15748031496062992" top="0.21" bottom="0.23622047244094491" header="0.17" footer="0.1574803149606299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5"/>
  <sheetViews>
    <sheetView view="pageBreakPreview" topLeftCell="A80" zoomScale="106" zoomScaleNormal="106" zoomScaleSheetLayoutView="106" workbookViewId="0">
      <selection activeCell="D74" sqref="D74"/>
    </sheetView>
  </sheetViews>
  <sheetFormatPr defaultRowHeight="20.25"/>
  <cols>
    <col min="1" max="1" width="3.5" style="6" customWidth="1"/>
    <col min="2" max="2" width="16.625" style="12" customWidth="1"/>
    <col min="3" max="3" width="7" style="6" customWidth="1"/>
    <col min="4" max="4" width="9.5" style="13" customWidth="1"/>
    <col min="5" max="5" width="18.125" style="6" customWidth="1"/>
    <col min="6" max="6" width="4.625" style="6" customWidth="1"/>
    <col min="7" max="7" width="15.375" style="6" customWidth="1"/>
    <col min="8" max="8" width="18.625" style="6" customWidth="1"/>
    <col min="9" max="9" width="6" style="11" customWidth="1"/>
    <col min="10" max="10" width="8.125" style="13" customWidth="1"/>
    <col min="11" max="12" width="9" style="13"/>
    <col min="13" max="13" width="8.375" style="13" customWidth="1"/>
    <col min="14" max="16384" width="9" style="6"/>
  </cols>
  <sheetData>
    <row r="1" spans="1:13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24">
      <c r="A2" s="195" t="s">
        <v>287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24">
      <c r="A3" s="196" t="s">
        <v>161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4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21.75" customHeight="1">
      <c r="A5" s="153"/>
      <c r="B5" s="21"/>
      <c r="C5" s="22"/>
      <c r="D5" s="190" t="s">
        <v>289</v>
      </c>
      <c r="E5" s="191"/>
      <c r="F5" s="192"/>
      <c r="G5" s="190" t="s">
        <v>637</v>
      </c>
      <c r="H5" s="191"/>
      <c r="I5" s="192"/>
      <c r="J5" s="190" t="s">
        <v>3</v>
      </c>
      <c r="K5" s="191"/>
      <c r="L5" s="192"/>
      <c r="M5" s="23"/>
    </row>
    <row r="6" spans="1:13" ht="20.25" customHeight="1">
      <c r="A6" s="24" t="s">
        <v>73</v>
      </c>
      <c r="B6" s="24" t="s">
        <v>1</v>
      </c>
      <c r="C6" s="25" t="s">
        <v>2</v>
      </c>
      <c r="D6" s="26" t="s">
        <v>306</v>
      </c>
      <c r="E6" s="27" t="s">
        <v>290</v>
      </c>
      <c r="F6" s="27" t="s">
        <v>5</v>
      </c>
      <c r="G6" s="26" t="s">
        <v>4</v>
      </c>
      <c r="H6" s="27" t="s">
        <v>290</v>
      </c>
      <c r="I6" s="28" t="s">
        <v>5</v>
      </c>
      <c r="J6" s="26" t="s">
        <v>3</v>
      </c>
      <c r="K6" s="26" t="s">
        <v>292</v>
      </c>
      <c r="L6" s="29" t="s">
        <v>293</v>
      </c>
      <c r="M6" s="30" t="s">
        <v>295</v>
      </c>
    </row>
    <row r="7" spans="1:13" ht="21.75" customHeight="1">
      <c r="A7" s="31"/>
      <c r="B7" s="32"/>
      <c r="C7" s="33" t="s">
        <v>288</v>
      </c>
      <c r="D7" s="34" t="s">
        <v>290</v>
      </c>
      <c r="E7" s="31"/>
      <c r="F7" s="31"/>
      <c r="G7" s="34"/>
      <c r="H7" s="31"/>
      <c r="I7" s="35"/>
      <c r="J7" s="34"/>
      <c r="K7" s="36" t="s">
        <v>290</v>
      </c>
      <c r="L7" s="37" t="s">
        <v>294</v>
      </c>
      <c r="M7" s="38"/>
    </row>
    <row r="8" spans="1:13" ht="24">
      <c r="A8" s="39">
        <v>1</v>
      </c>
      <c r="B8" s="154" t="s">
        <v>444</v>
      </c>
      <c r="C8" s="103" t="s">
        <v>10</v>
      </c>
      <c r="D8" s="165" t="s">
        <v>445</v>
      </c>
      <c r="E8" s="213" t="s">
        <v>213</v>
      </c>
      <c r="F8" s="214">
        <v>8</v>
      </c>
      <c r="G8" s="43" t="s">
        <v>446</v>
      </c>
      <c r="H8" s="213" t="s">
        <v>213</v>
      </c>
      <c r="I8" s="44" t="s">
        <v>305</v>
      </c>
      <c r="J8" s="215">
        <f>43300*12</f>
        <v>519600</v>
      </c>
      <c r="K8" s="215">
        <f>5600*12</f>
        <v>67200</v>
      </c>
      <c r="L8" s="215">
        <f>5600*12</f>
        <v>67200</v>
      </c>
      <c r="M8" s="215">
        <f>SUM(J8:L8)</f>
        <v>654000</v>
      </c>
    </row>
    <row r="9" spans="1:13" ht="24">
      <c r="A9" s="46"/>
      <c r="B9" s="47"/>
      <c r="C9" s="96"/>
      <c r="D9" s="96"/>
      <c r="E9" s="96" t="s">
        <v>214</v>
      </c>
      <c r="F9" s="96"/>
      <c r="G9" s="49"/>
      <c r="H9" s="96" t="s">
        <v>214</v>
      </c>
      <c r="I9" s="49"/>
      <c r="J9" s="216"/>
      <c r="K9" s="216"/>
      <c r="L9" s="216"/>
      <c r="M9" s="216"/>
    </row>
    <row r="10" spans="1:13" ht="24">
      <c r="A10" s="46"/>
      <c r="B10" s="57" t="s">
        <v>166</v>
      </c>
      <c r="C10" s="46"/>
      <c r="D10" s="52"/>
      <c r="E10" s="46"/>
      <c r="F10" s="46"/>
      <c r="G10" s="49"/>
      <c r="H10" s="50"/>
      <c r="I10" s="50"/>
      <c r="J10" s="217"/>
      <c r="K10" s="216"/>
      <c r="L10" s="216"/>
      <c r="M10" s="216"/>
    </row>
    <row r="11" spans="1:13" ht="24">
      <c r="A11" s="46">
        <v>2</v>
      </c>
      <c r="B11" s="47" t="s">
        <v>447</v>
      </c>
      <c r="C11" s="46" t="s">
        <v>229</v>
      </c>
      <c r="D11" s="52" t="s">
        <v>448</v>
      </c>
      <c r="E11" s="46" t="s">
        <v>216</v>
      </c>
      <c r="F11" s="46">
        <v>6</v>
      </c>
      <c r="G11" s="49" t="s">
        <v>450</v>
      </c>
      <c r="H11" s="46" t="s">
        <v>216</v>
      </c>
      <c r="I11" s="49" t="s">
        <v>300</v>
      </c>
      <c r="J11" s="216">
        <f>27960*12</f>
        <v>335520</v>
      </c>
      <c r="K11" s="216">
        <f>1500*9</f>
        <v>13500</v>
      </c>
      <c r="L11" s="216" t="s">
        <v>12</v>
      </c>
      <c r="M11" s="216">
        <f>SUM(J11:L11)</f>
        <v>349020</v>
      </c>
    </row>
    <row r="12" spans="1:13" ht="24">
      <c r="A12" s="46"/>
      <c r="B12" s="47"/>
      <c r="C12" s="46"/>
      <c r="D12" s="52"/>
      <c r="E12" s="54" t="s">
        <v>214</v>
      </c>
      <c r="F12" s="46"/>
      <c r="G12" s="49"/>
      <c r="H12" s="54" t="s">
        <v>214</v>
      </c>
      <c r="I12" s="50"/>
      <c r="J12" s="216"/>
      <c r="K12" s="216"/>
      <c r="L12" s="216"/>
      <c r="M12" s="216"/>
    </row>
    <row r="13" spans="1:13" ht="24">
      <c r="A13" s="46"/>
      <c r="B13" s="59" t="s">
        <v>168</v>
      </c>
      <c r="C13" s="46"/>
      <c r="D13" s="52"/>
      <c r="E13" s="46"/>
      <c r="F13" s="46"/>
      <c r="G13" s="49"/>
      <c r="H13" s="50"/>
      <c r="I13" s="49"/>
      <c r="J13" s="216"/>
      <c r="K13" s="216"/>
      <c r="L13" s="216"/>
      <c r="M13" s="216"/>
    </row>
    <row r="14" spans="1:13" ht="24">
      <c r="A14" s="46"/>
      <c r="B14" s="59" t="s">
        <v>451</v>
      </c>
      <c r="C14" s="46"/>
      <c r="D14" s="52"/>
      <c r="E14" s="46"/>
      <c r="F14" s="46"/>
      <c r="G14" s="49"/>
      <c r="H14" s="50"/>
      <c r="I14" s="49"/>
      <c r="J14" s="216"/>
      <c r="K14" s="216"/>
      <c r="L14" s="216"/>
      <c r="M14" s="216"/>
    </row>
    <row r="15" spans="1:13" ht="24">
      <c r="A15" s="46">
        <v>3</v>
      </c>
      <c r="B15" s="47" t="s">
        <v>452</v>
      </c>
      <c r="C15" s="46" t="s">
        <v>157</v>
      </c>
      <c r="D15" s="52" t="s">
        <v>453</v>
      </c>
      <c r="E15" s="46" t="s">
        <v>454</v>
      </c>
      <c r="F15" s="46">
        <v>5</v>
      </c>
      <c r="G15" s="49" t="s">
        <v>456</v>
      </c>
      <c r="H15" s="50" t="s">
        <v>454</v>
      </c>
      <c r="I15" s="49" t="s">
        <v>319</v>
      </c>
      <c r="J15" s="216">
        <f>20770*12</f>
        <v>249240</v>
      </c>
      <c r="K15" s="216" t="s">
        <v>12</v>
      </c>
      <c r="L15" s="216" t="s">
        <v>12</v>
      </c>
      <c r="M15" s="216"/>
    </row>
    <row r="16" spans="1:13" ht="24">
      <c r="A16" s="46">
        <v>4</v>
      </c>
      <c r="B16" s="218" t="s">
        <v>167</v>
      </c>
      <c r="C16" s="219" t="s">
        <v>155</v>
      </c>
      <c r="D16" s="219" t="s">
        <v>12</v>
      </c>
      <c r="E16" s="219" t="s">
        <v>26</v>
      </c>
      <c r="F16" s="46" t="s">
        <v>12</v>
      </c>
      <c r="G16" s="49" t="s">
        <v>12</v>
      </c>
      <c r="H16" s="219" t="s">
        <v>26</v>
      </c>
      <c r="I16" s="49" t="s">
        <v>12</v>
      </c>
      <c r="J16" s="216">
        <f>9000*12</f>
        <v>108000</v>
      </c>
      <c r="K16" s="216" t="s">
        <v>12</v>
      </c>
      <c r="L16" s="216">
        <f>1000*12</f>
        <v>12000</v>
      </c>
      <c r="M16" s="216">
        <f>J16+L16</f>
        <v>120000</v>
      </c>
    </row>
    <row r="17" spans="1:13" ht="24">
      <c r="A17" s="46"/>
      <c r="B17" s="59" t="s">
        <v>18</v>
      </c>
      <c r="C17" s="46"/>
      <c r="D17" s="52"/>
      <c r="E17" s="46"/>
      <c r="F17" s="46"/>
      <c r="G17" s="49"/>
      <c r="H17" s="50"/>
      <c r="I17" s="49"/>
      <c r="J17" s="216"/>
      <c r="K17" s="216"/>
      <c r="L17" s="216"/>
      <c r="M17" s="216"/>
    </row>
    <row r="18" spans="1:13" ht="24">
      <c r="A18" s="46">
        <v>5</v>
      </c>
      <c r="B18" s="47" t="s">
        <v>457</v>
      </c>
      <c r="C18" s="46" t="s">
        <v>36</v>
      </c>
      <c r="D18" s="52" t="s">
        <v>458</v>
      </c>
      <c r="E18" s="46" t="s">
        <v>232</v>
      </c>
      <c r="F18" s="46">
        <v>4</v>
      </c>
      <c r="G18" s="49" t="s">
        <v>459</v>
      </c>
      <c r="H18" s="46" t="s">
        <v>232</v>
      </c>
      <c r="I18" s="49" t="s">
        <v>439</v>
      </c>
      <c r="J18" s="216">
        <f>16340*12</f>
        <v>196080</v>
      </c>
      <c r="K18" s="216" t="s">
        <v>12</v>
      </c>
      <c r="L18" s="216" t="s">
        <v>12</v>
      </c>
      <c r="M18" s="216"/>
    </row>
    <row r="19" spans="1:13" ht="24">
      <c r="A19" s="46">
        <v>6</v>
      </c>
      <c r="B19" s="159" t="s">
        <v>633</v>
      </c>
      <c r="C19" s="96" t="s">
        <v>635</v>
      </c>
      <c r="D19" s="96" t="s">
        <v>12</v>
      </c>
      <c r="E19" s="96" t="s">
        <v>215</v>
      </c>
      <c r="F19" s="46" t="s">
        <v>12</v>
      </c>
      <c r="G19" s="46" t="s">
        <v>12</v>
      </c>
      <c r="H19" s="96" t="s">
        <v>215</v>
      </c>
      <c r="I19" s="49" t="s">
        <v>12</v>
      </c>
      <c r="J19" s="216">
        <f>14940*12</f>
        <v>179280</v>
      </c>
      <c r="K19" s="216" t="s">
        <v>12</v>
      </c>
      <c r="L19" s="216" t="s">
        <v>12</v>
      </c>
      <c r="M19" s="216"/>
    </row>
    <row r="20" spans="1:13" ht="24">
      <c r="A20" s="46">
        <v>7</v>
      </c>
      <c r="B20" s="95" t="s">
        <v>162</v>
      </c>
      <c r="C20" s="96" t="s">
        <v>22</v>
      </c>
      <c r="D20" s="96" t="s">
        <v>12</v>
      </c>
      <c r="E20" s="96" t="s">
        <v>23</v>
      </c>
      <c r="F20" s="46" t="s">
        <v>12</v>
      </c>
      <c r="G20" s="46" t="s">
        <v>12</v>
      </c>
      <c r="H20" s="96" t="s">
        <v>23</v>
      </c>
      <c r="I20" s="49" t="s">
        <v>12</v>
      </c>
      <c r="J20" s="216">
        <f>11150*12</f>
        <v>133800</v>
      </c>
      <c r="K20" s="216" t="s">
        <v>12</v>
      </c>
      <c r="L20" s="216">
        <f>2000*12</f>
        <v>24000</v>
      </c>
      <c r="M20" s="216">
        <f>J20+L20</f>
        <v>157800</v>
      </c>
    </row>
    <row r="21" spans="1:13" ht="24">
      <c r="A21" s="46">
        <v>8</v>
      </c>
      <c r="B21" s="95" t="s">
        <v>163</v>
      </c>
      <c r="C21" s="96" t="s">
        <v>27</v>
      </c>
      <c r="D21" s="96" t="s">
        <v>12</v>
      </c>
      <c r="E21" s="96" t="s">
        <v>21</v>
      </c>
      <c r="F21" s="46" t="s">
        <v>12</v>
      </c>
      <c r="G21" s="46" t="s">
        <v>12</v>
      </c>
      <c r="H21" s="96" t="s">
        <v>21</v>
      </c>
      <c r="I21" s="49" t="s">
        <v>12</v>
      </c>
      <c r="J21" s="216">
        <f>11560*12</f>
        <v>138720</v>
      </c>
      <c r="K21" s="216" t="s">
        <v>12</v>
      </c>
      <c r="L21" s="216">
        <f>1725*12</f>
        <v>20700</v>
      </c>
      <c r="M21" s="216">
        <f>J21+L21</f>
        <v>159420</v>
      </c>
    </row>
    <row r="22" spans="1:13" ht="24">
      <c r="A22" s="46">
        <v>9</v>
      </c>
      <c r="B22" s="96" t="s">
        <v>12</v>
      </c>
      <c r="C22" s="96" t="s">
        <v>12</v>
      </c>
      <c r="D22" s="96" t="s">
        <v>12</v>
      </c>
      <c r="E22" s="96" t="s">
        <v>21</v>
      </c>
      <c r="F22" s="46" t="s">
        <v>12</v>
      </c>
      <c r="G22" s="46" t="s">
        <v>12</v>
      </c>
      <c r="H22" s="96" t="s">
        <v>21</v>
      </c>
      <c r="I22" s="49" t="s">
        <v>12</v>
      </c>
      <c r="J22" s="49" t="s">
        <v>12</v>
      </c>
      <c r="K22" s="49" t="s">
        <v>12</v>
      </c>
      <c r="L22" s="49" t="s">
        <v>12</v>
      </c>
      <c r="M22" s="216" t="s">
        <v>307</v>
      </c>
    </row>
    <row r="23" spans="1:13" ht="24">
      <c r="A23" s="65">
        <v>10</v>
      </c>
      <c r="B23" s="157" t="s">
        <v>164</v>
      </c>
      <c r="C23" s="101" t="s">
        <v>24</v>
      </c>
      <c r="D23" s="101" t="s">
        <v>12</v>
      </c>
      <c r="E23" s="101" t="s">
        <v>26</v>
      </c>
      <c r="F23" s="65" t="s">
        <v>12</v>
      </c>
      <c r="G23" s="65" t="s">
        <v>12</v>
      </c>
      <c r="H23" s="101" t="s">
        <v>26</v>
      </c>
      <c r="I23" s="68" t="s">
        <v>12</v>
      </c>
      <c r="J23" s="220">
        <f>9000*12</f>
        <v>108000</v>
      </c>
      <c r="K23" s="68" t="s">
        <v>12</v>
      </c>
      <c r="L23" s="220">
        <f>1000*12</f>
        <v>12000</v>
      </c>
      <c r="M23" s="220">
        <f>J23+L23</f>
        <v>120000</v>
      </c>
    </row>
    <row r="24" spans="1:13" ht="24">
      <c r="A24" s="41">
        <v>11</v>
      </c>
      <c r="B24" s="158" t="s">
        <v>165</v>
      </c>
      <c r="C24" s="103" t="s">
        <v>27</v>
      </c>
      <c r="D24" s="103" t="s">
        <v>12</v>
      </c>
      <c r="E24" s="103" t="s">
        <v>26</v>
      </c>
      <c r="F24" s="41" t="s">
        <v>12</v>
      </c>
      <c r="G24" s="41" t="s">
        <v>12</v>
      </c>
      <c r="H24" s="103" t="s">
        <v>26</v>
      </c>
      <c r="I24" s="43" t="s">
        <v>12</v>
      </c>
      <c r="J24" s="215">
        <f>9000*12</f>
        <v>108000</v>
      </c>
      <c r="K24" s="43" t="s">
        <v>12</v>
      </c>
      <c r="L24" s="215">
        <f>1000*12</f>
        <v>12000</v>
      </c>
      <c r="M24" s="215">
        <f>J24+L24</f>
        <v>120000</v>
      </c>
    </row>
    <row r="25" spans="1:13" ht="24">
      <c r="A25" s="46">
        <v>12</v>
      </c>
      <c r="B25" s="96" t="s">
        <v>12</v>
      </c>
      <c r="C25" s="96" t="s">
        <v>12</v>
      </c>
      <c r="D25" s="96" t="s">
        <v>12</v>
      </c>
      <c r="E25" s="96" t="s">
        <v>26</v>
      </c>
      <c r="F25" s="46" t="s">
        <v>12</v>
      </c>
      <c r="G25" s="46" t="s">
        <v>12</v>
      </c>
      <c r="H25" s="96" t="s">
        <v>26</v>
      </c>
      <c r="I25" s="49" t="s">
        <v>12</v>
      </c>
      <c r="J25" s="49" t="s">
        <v>12</v>
      </c>
      <c r="K25" s="49" t="s">
        <v>12</v>
      </c>
      <c r="L25" s="49" t="s">
        <v>12</v>
      </c>
      <c r="M25" s="216" t="s">
        <v>307</v>
      </c>
    </row>
    <row r="26" spans="1:13" ht="24">
      <c r="A26" s="46"/>
      <c r="B26" s="221" t="s">
        <v>169</v>
      </c>
      <c r="C26" s="96"/>
      <c r="D26" s="96"/>
      <c r="E26" s="96"/>
      <c r="F26" s="46"/>
      <c r="G26" s="46"/>
      <c r="H26" s="96"/>
      <c r="I26" s="49"/>
      <c r="J26" s="216"/>
      <c r="K26" s="216"/>
      <c r="L26" s="216"/>
      <c r="M26" s="216"/>
    </row>
    <row r="27" spans="1:13" ht="24">
      <c r="A27" s="46">
        <v>13</v>
      </c>
      <c r="B27" s="96" t="s">
        <v>12</v>
      </c>
      <c r="C27" s="96" t="s">
        <v>12</v>
      </c>
      <c r="D27" s="170" t="s">
        <v>460</v>
      </c>
      <c r="E27" s="170" t="s">
        <v>217</v>
      </c>
      <c r="F27" s="46">
        <v>6</v>
      </c>
      <c r="G27" s="49" t="s">
        <v>455</v>
      </c>
      <c r="H27" s="170" t="s">
        <v>217</v>
      </c>
      <c r="I27" s="49" t="s">
        <v>300</v>
      </c>
      <c r="J27" s="216" t="s">
        <v>12</v>
      </c>
      <c r="K27" s="216" t="s">
        <v>12</v>
      </c>
      <c r="L27" s="216" t="s">
        <v>12</v>
      </c>
      <c r="M27" s="216" t="s">
        <v>307</v>
      </c>
    </row>
    <row r="28" spans="1:13" ht="24">
      <c r="A28" s="46"/>
      <c r="B28" s="95"/>
      <c r="C28" s="96"/>
      <c r="D28" s="96"/>
      <c r="E28" s="96" t="s">
        <v>214</v>
      </c>
      <c r="F28" s="46"/>
      <c r="G28" s="46"/>
      <c r="H28" s="96" t="s">
        <v>214</v>
      </c>
      <c r="I28" s="49"/>
      <c r="J28" s="216"/>
      <c r="K28" s="216"/>
      <c r="L28" s="216"/>
      <c r="M28" s="216"/>
    </row>
    <row r="29" spans="1:13" ht="24">
      <c r="A29" s="46"/>
      <c r="B29" s="177" t="s">
        <v>170</v>
      </c>
      <c r="C29" s="96"/>
      <c r="D29" s="96"/>
      <c r="E29" s="96"/>
      <c r="F29" s="46"/>
      <c r="G29" s="46"/>
      <c r="H29" s="96"/>
      <c r="I29" s="49"/>
      <c r="J29" s="216"/>
      <c r="K29" s="216"/>
      <c r="L29" s="216"/>
      <c r="M29" s="216"/>
    </row>
    <row r="30" spans="1:13" ht="24">
      <c r="A30" s="46">
        <v>14</v>
      </c>
      <c r="B30" s="95" t="s">
        <v>461</v>
      </c>
      <c r="C30" s="96" t="s">
        <v>226</v>
      </c>
      <c r="D30" s="170" t="s">
        <v>462</v>
      </c>
      <c r="E30" s="170" t="s">
        <v>463</v>
      </c>
      <c r="F30" s="46">
        <v>4</v>
      </c>
      <c r="G30" s="49" t="s">
        <v>464</v>
      </c>
      <c r="H30" s="170" t="s">
        <v>465</v>
      </c>
      <c r="I30" s="49" t="s">
        <v>439</v>
      </c>
      <c r="J30" s="216">
        <f>15720*12</f>
        <v>188640</v>
      </c>
      <c r="K30" s="216" t="s">
        <v>12</v>
      </c>
      <c r="L30" s="216" t="s">
        <v>12</v>
      </c>
      <c r="M30" s="216"/>
    </row>
    <row r="31" spans="1:13" ht="24">
      <c r="A31" s="46">
        <v>15</v>
      </c>
      <c r="B31" s="159" t="s">
        <v>171</v>
      </c>
      <c r="C31" s="170" t="s">
        <v>28</v>
      </c>
      <c r="D31" s="170" t="s">
        <v>20</v>
      </c>
      <c r="E31" s="170" t="s">
        <v>218</v>
      </c>
      <c r="F31" s="46" t="s">
        <v>12</v>
      </c>
      <c r="G31" s="46" t="s">
        <v>12</v>
      </c>
      <c r="H31" s="170" t="s">
        <v>218</v>
      </c>
      <c r="I31" s="49" t="s">
        <v>12</v>
      </c>
      <c r="J31" s="216">
        <f>20040*12</f>
        <v>240480</v>
      </c>
      <c r="K31" s="216" t="s">
        <v>12</v>
      </c>
      <c r="L31" s="216" t="s">
        <v>12</v>
      </c>
      <c r="M31" s="216"/>
    </row>
    <row r="32" spans="1:13" ht="24">
      <c r="A32" s="46">
        <v>16</v>
      </c>
      <c r="B32" s="159" t="s">
        <v>172</v>
      </c>
      <c r="C32" s="170" t="s">
        <v>227</v>
      </c>
      <c r="D32" s="170" t="s">
        <v>20</v>
      </c>
      <c r="E32" s="170" t="s">
        <v>218</v>
      </c>
      <c r="F32" s="46" t="s">
        <v>12</v>
      </c>
      <c r="G32" s="46" t="s">
        <v>12</v>
      </c>
      <c r="H32" s="170" t="s">
        <v>218</v>
      </c>
      <c r="I32" s="49" t="s">
        <v>12</v>
      </c>
      <c r="J32" s="216">
        <f>17570*12</f>
        <v>210840</v>
      </c>
      <c r="K32" s="216" t="s">
        <v>12</v>
      </c>
      <c r="L32" s="216" t="s">
        <v>12</v>
      </c>
      <c r="M32" s="216"/>
    </row>
    <row r="33" spans="1:13" ht="24">
      <c r="A33" s="46">
        <v>17</v>
      </c>
      <c r="B33" s="159" t="s">
        <v>173</v>
      </c>
      <c r="C33" s="170" t="s">
        <v>19</v>
      </c>
      <c r="D33" s="170" t="s">
        <v>20</v>
      </c>
      <c r="E33" s="170" t="s">
        <v>219</v>
      </c>
      <c r="F33" s="46" t="s">
        <v>12</v>
      </c>
      <c r="G33" s="46" t="s">
        <v>12</v>
      </c>
      <c r="H33" s="170" t="s">
        <v>219</v>
      </c>
      <c r="I33" s="49" t="s">
        <v>12</v>
      </c>
      <c r="J33" s="216">
        <f>16030*12</f>
        <v>192360</v>
      </c>
      <c r="K33" s="216" t="s">
        <v>12</v>
      </c>
      <c r="L33" s="216" t="s">
        <v>12</v>
      </c>
      <c r="M33" s="216"/>
    </row>
    <row r="34" spans="1:13" ht="24">
      <c r="A34" s="46">
        <v>18</v>
      </c>
      <c r="B34" s="159" t="s">
        <v>174</v>
      </c>
      <c r="C34" s="170" t="s">
        <v>24</v>
      </c>
      <c r="D34" s="170"/>
      <c r="E34" s="222" t="s">
        <v>220</v>
      </c>
      <c r="F34" s="46" t="s">
        <v>12</v>
      </c>
      <c r="G34" s="46" t="s">
        <v>12</v>
      </c>
      <c r="H34" s="222" t="s">
        <v>220</v>
      </c>
      <c r="I34" s="49" t="s">
        <v>12</v>
      </c>
      <c r="J34" s="216">
        <f>19170*12</f>
        <v>230040</v>
      </c>
      <c r="K34" s="216" t="s">
        <v>12</v>
      </c>
      <c r="L34" s="216" t="s">
        <v>12</v>
      </c>
      <c r="M34" s="170"/>
    </row>
    <row r="35" spans="1:13" ht="24">
      <c r="A35" s="46">
        <v>19</v>
      </c>
      <c r="B35" s="159" t="s">
        <v>175</v>
      </c>
      <c r="C35" s="170" t="s">
        <v>24</v>
      </c>
      <c r="D35" s="170" t="s">
        <v>20</v>
      </c>
      <c r="E35" s="170" t="s">
        <v>21</v>
      </c>
      <c r="F35" s="46" t="s">
        <v>12</v>
      </c>
      <c r="G35" s="46" t="s">
        <v>12</v>
      </c>
      <c r="H35" s="170" t="s">
        <v>21</v>
      </c>
      <c r="I35" s="49" t="s">
        <v>12</v>
      </c>
      <c r="J35" s="216">
        <f>12380*12</f>
        <v>148560</v>
      </c>
      <c r="K35" s="216" t="s">
        <v>12</v>
      </c>
      <c r="L35" s="216">
        <f>905*12</f>
        <v>10860</v>
      </c>
      <c r="M35" s="223">
        <f>J35+L35</f>
        <v>159420</v>
      </c>
    </row>
    <row r="36" spans="1:13" ht="24">
      <c r="A36" s="46">
        <v>20</v>
      </c>
      <c r="B36" s="159" t="s">
        <v>176</v>
      </c>
      <c r="C36" s="170" t="s">
        <v>228</v>
      </c>
      <c r="D36" s="170" t="s">
        <v>20</v>
      </c>
      <c r="E36" s="170" t="s">
        <v>21</v>
      </c>
      <c r="F36" s="46" t="s">
        <v>12</v>
      </c>
      <c r="G36" s="46" t="s">
        <v>12</v>
      </c>
      <c r="H36" s="170" t="s">
        <v>21</v>
      </c>
      <c r="I36" s="49" t="s">
        <v>12</v>
      </c>
      <c r="J36" s="216">
        <f>12370*12</f>
        <v>148440</v>
      </c>
      <c r="K36" s="216" t="s">
        <v>12</v>
      </c>
      <c r="L36" s="216">
        <f>915*12</f>
        <v>10980</v>
      </c>
      <c r="M36" s="223">
        <f t="shared" ref="M36:M63" si="0">J36+L36</f>
        <v>159420</v>
      </c>
    </row>
    <row r="37" spans="1:13" ht="24">
      <c r="A37" s="46">
        <v>21</v>
      </c>
      <c r="B37" s="159" t="s">
        <v>185</v>
      </c>
      <c r="C37" s="170" t="s">
        <v>27</v>
      </c>
      <c r="D37" s="170" t="s">
        <v>20</v>
      </c>
      <c r="E37" s="170" t="s">
        <v>21</v>
      </c>
      <c r="F37" s="46" t="s">
        <v>12</v>
      </c>
      <c r="G37" s="46" t="s">
        <v>12</v>
      </c>
      <c r="H37" s="170" t="s">
        <v>21</v>
      </c>
      <c r="I37" s="49" t="s">
        <v>12</v>
      </c>
      <c r="J37" s="216">
        <f>12140*12</f>
        <v>145680</v>
      </c>
      <c r="K37" s="216" t="s">
        <v>12</v>
      </c>
      <c r="L37" s="216">
        <f>1145*12</f>
        <v>13740</v>
      </c>
      <c r="M37" s="223">
        <f t="shared" si="0"/>
        <v>159420</v>
      </c>
    </row>
    <row r="38" spans="1:13" ht="24">
      <c r="A38" s="46">
        <v>22</v>
      </c>
      <c r="B38" s="159" t="s">
        <v>186</v>
      </c>
      <c r="C38" s="170" t="s">
        <v>28</v>
      </c>
      <c r="D38" s="170" t="s">
        <v>20</v>
      </c>
      <c r="E38" s="170" t="s">
        <v>21</v>
      </c>
      <c r="F38" s="46" t="s">
        <v>12</v>
      </c>
      <c r="G38" s="46" t="s">
        <v>12</v>
      </c>
      <c r="H38" s="170" t="s">
        <v>21</v>
      </c>
      <c r="I38" s="49" t="s">
        <v>12</v>
      </c>
      <c r="J38" s="216">
        <f>11370*12</f>
        <v>136440</v>
      </c>
      <c r="K38" s="216" t="s">
        <v>12</v>
      </c>
      <c r="L38" s="216">
        <f>1915*12</f>
        <v>22980</v>
      </c>
      <c r="M38" s="223">
        <f t="shared" si="0"/>
        <v>159420</v>
      </c>
    </row>
    <row r="39" spans="1:13" ht="24">
      <c r="A39" s="65">
        <v>23</v>
      </c>
      <c r="B39" s="161" t="s">
        <v>187</v>
      </c>
      <c r="C39" s="162" t="s">
        <v>24</v>
      </c>
      <c r="D39" s="162" t="s">
        <v>20</v>
      </c>
      <c r="E39" s="162" t="s">
        <v>21</v>
      </c>
      <c r="F39" s="65" t="s">
        <v>12</v>
      </c>
      <c r="G39" s="65" t="s">
        <v>12</v>
      </c>
      <c r="H39" s="162" t="s">
        <v>21</v>
      </c>
      <c r="I39" s="68" t="s">
        <v>12</v>
      </c>
      <c r="J39" s="220">
        <f>12140*12</f>
        <v>145680</v>
      </c>
      <c r="K39" s="220" t="s">
        <v>12</v>
      </c>
      <c r="L39" s="220">
        <f>1145*12</f>
        <v>13740</v>
      </c>
      <c r="M39" s="224">
        <f t="shared" si="0"/>
        <v>159420</v>
      </c>
    </row>
    <row r="40" spans="1:13" ht="24">
      <c r="A40" s="41">
        <v>24</v>
      </c>
      <c r="B40" s="164" t="s">
        <v>188</v>
      </c>
      <c r="C40" s="165" t="s">
        <v>24</v>
      </c>
      <c r="D40" s="165" t="s">
        <v>20</v>
      </c>
      <c r="E40" s="165" t="s">
        <v>21</v>
      </c>
      <c r="F40" s="41" t="s">
        <v>12</v>
      </c>
      <c r="G40" s="41" t="s">
        <v>12</v>
      </c>
      <c r="H40" s="165" t="s">
        <v>21</v>
      </c>
      <c r="I40" s="43" t="s">
        <v>12</v>
      </c>
      <c r="J40" s="215">
        <f>12140*12</f>
        <v>145680</v>
      </c>
      <c r="K40" s="215" t="s">
        <v>12</v>
      </c>
      <c r="L40" s="215">
        <f>1145*12</f>
        <v>13740</v>
      </c>
      <c r="M40" s="225">
        <f t="shared" si="0"/>
        <v>159420</v>
      </c>
    </row>
    <row r="41" spans="1:13" ht="24">
      <c r="A41" s="46">
        <v>25</v>
      </c>
      <c r="B41" s="159" t="s">
        <v>177</v>
      </c>
      <c r="C41" s="170" t="s">
        <v>28</v>
      </c>
      <c r="D41" s="170" t="s">
        <v>20</v>
      </c>
      <c r="E41" s="170" t="s">
        <v>219</v>
      </c>
      <c r="F41" s="46" t="s">
        <v>12</v>
      </c>
      <c r="G41" s="46" t="s">
        <v>12</v>
      </c>
      <c r="H41" s="170" t="s">
        <v>219</v>
      </c>
      <c r="I41" s="49" t="s">
        <v>12</v>
      </c>
      <c r="J41" s="216">
        <f>12030*12</f>
        <v>144360</v>
      </c>
      <c r="K41" s="216" t="s">
        <v>12</v>
      </c>
      <c r="L41" s="216">
        <f>1255*12</f>
        <v>15060</v>
      </c>
      <c r="M41" s="223">
        <f t="shared" si="0"/>
        <v>159420</v>
      </c>
    </row>
    <row r="42" spans="1:13" ht="24">
      <c r="A42" s="46">
        <v>26</v>
      </c>
      <c r="B42" s="159" t="s">
        <v>178</v>
      </c>
      <c r="C42" s="170" t="s">
        <v>19</v>
      </c>
      <c r="D42" s="170" t="s">
        <v>20</v>
      </c>
      <c r="E42" s="170" t="s">
        <v>219</v>
      </c>
      <c r="F42" s="46" t="s">
        <v>12</v>
      </c>
      <c r="G42" s="46" t="s">
        <v>12</v>
      </c>
      <c r="H42" s="170" t="s">
        <v>219</v>
      </c>
      <c r="I42" s="49" t="s">
        <v>12</v>
      </c>
      <c r="J42" s="216">
        <f>12030*12</f>
        <v>144360</v>
      </c>
      <c r="K42" s="216" t="s">
        <v>12</v>
      </c>
      <c r="L42" s="216">
        <f>1255*12</f>
        <v>15060</v>
      </c>
      <c r="M42" s="223">
        <f t="shared" si="0"/>
        <v>159420</v>
      </c>
    </row>
    <row r="43" spans="1:13" ht="24">
      <c r="A43" s="46">
        <v>27</v>
      </c>
      <c r="B43" s="175" t="s">
        <v>179</v>
      </c>
      <c r="C43" s="176" t="s">
        <v>25</v>
      </c>
      <c r="D43" s="176" t="s">
        <v>20</v>
      </c>
      <c r="E43" s="176" t="s">
        <v>219</v>
      </c>
      <c r="F43" s="46" t="s">
        <v>12</v>
      </c>
      <c r="G43" s="46" t="s">
        <v>12</v>
      </c>
      <c r="H43" s="176" t="s">
        <v>219</v>
      </c>
      <c r="I43" s="49" t="s">
        <v>12</v>
      </c>
      <c r="J43" s="216">
        <f>11810*12</f>
        <v>141720</v>
      </c>
      <c r="K43" s="216" t="s">
        <v>12</v>
      </c>
      <c r="L43" s="216">
        <f>1475*12</f>
        <v>17700</v>
      </c>
      <c r="M43" s="223">
        <f t="shared" si="0"/>
        <v>159420</v>
      </c>
    </row>
    <row r="44" spans="1:13" ht="24">
      <c r="A44" s="46">
        <v>28</v>
      </c>
      <c r="B44" s="159" t="s">
        <v>180</v>
      </c>
      <c r="C44" s="170" t="s">
        <v>27</v>
      </c>
      <c r="D44" s="170" t="s">
        <v>20</v>
      </c>
      <c r="E44" s="170" t="s">
        <v>219</v>
      </c>
      <c r="F44" s="46" t="s">
        <v>12</v>
      </c>
      <c r="G44" s="46" t="s">
        <v>12</v>
      </c>
      <c r="H44" s="170" t="s">
        <v>219</v>
      </c>
      <c r="I44" s="49" t="s">
        <v>12</v>
      </c>
      <c r="J44" s="216">
        <f>12030*12</f>
        <v>144360</v>
      </c>
      <c r="K44" s="216" t="s">
        <v>12</v>
      </c>
      <c r="L44" s="216">
        <f>1255*12</f>
        <v>15060</v>
      </c>
      <c r="M44" s="223">
        <f t="shared" si="0"/>
        <v>159420</v>
      </c>
    </row>
    <row r="45" spans="1:13" ht="24">
      <c r="A45" s="46">
        <v>29</v>
      </c>
      <c r="B45" s="159" t="s">
        <v>181</v>
      </c>
      <c r="C45" s="170" t="s">
        <v>28</v>
      </c>
      <c r="D45" s="170" t="s">
        <v>20</v>
      </c>
      <c r="E45" s="170" t="s">
        <v>219</v>
      </c>
      <c r="F45" s="46" t="s">
        <v>12</v>
      </c>
      <c r="G45" s="46" t="s">
        <v>12</v>
      </c>
      <c r="H45" s="170" t="s">
        <v>219</v>
      </c>
      <c r="I45" s="49" t="s">
        <v>12</v>
      </c>
      <c r="J45" s="216">
        <f>12260*12</f>
        <v>147120</v>
      </c>
      <c r="K45" s="216" t="s">
        <v>12</v>
      </c>
      <c r="L45" s="216">
        <f>1025*12</f>
        <v>12300</v>
      </c>
      <c r="M45" s="223">
        <f t="shared" si="0"/>
        <v>159420</v>
      </c>
    </row>
    <row r="46" spans="1:13" ht="24">
      <c r="A46" s="46">
        <v>30</v>
      </c>
      <c r="B46" s="159" t="s">
        <v>182</v>
      </c>
      <c r="C46" s="170" t="s">
        <v>28</v>
      </c>
      <c r="D46" s="170" t="s">
        <v>20</v>
      </c>
      <c r="E46" s="170" t="s">
        <v>219</v>
      </c>
      <c r="F46" s="46" t="s">
        <v>12</v>
      </c>
      <c r="G46" s="46" t="s">
        <v>12</v>
      </c>
      <c r="H46" s="170" t="s">
        <v>219</v>
      </c>
      <c r="I46" s="49" t="s">
        <v>12</v>
      </c>
      <c r="J46" s="216">
        <f>12150*12</f>
        <v>145800</v>
      </c>
      <c r="K46" s="216" t="s">
        <v>12</v>
      </c>
      <c r="L46" s="216">
        <f>1135*12</f>
        <v>13620</v>
      </c>
      <c r="M46" s="223">
        <f t="shared" si="0"/>
        <v>159420</v>
      </c>
    </row>
    <row r="47" spans="1:13" ht="24">
      <c r="A47" s="46">
        <v>31</v>
      </c>
      <c r="B47" s="159" t="s">
        <v>183</v>
      </c>
      <c r="C47" s="170" t="s">
        <v>25</v>
      </c>
      <c r="D47" s="170" t="s">
        <v>20</v>
      </c>
      <c r="E47" s="170" t="s">
        <v>219</v>
      </c>
      <c r="F47" s="46" t="s">
        <v>12</v>
      </c>
      <c r="G47" s="46" t="s">
        <v>12</v>
      </c>
      <c r="H47" s="170" t="s">
        <v>219</v>
      </c>
      <c r="I47" s="49" t="s">
        <v>12</v>
      </c>
      <c r="J47" s="216">
        <f>12270*12</f>
        <v>147240</v>
      </c>
      <c r="K47" s="216" t="s">
        <v>12</v>
      </c>
      <c r="L47" s="216">
        <f>1015*12</f>
        <v>12180</v>
      </c>
      <c r="M47" s="223">
        <f t="shared" si="0"/>
        <v>159420</v>
      </c>
    </row>
    <row r="48" spans="1:13" ht="24">
      <c r="A48" s="46">
        <v>32</v>
      </c>
      <c r="B48" s="159" t="s">
        <v>184</v>
      </c>
      <c r="C48" s="170" t="s">
        <v>28</v>
      </c>
      <c r="D48" s="170" t="s">
        <v>20</v>
      </c>
      <c r="E48" s="170" t="s">
        <v>219</v>
      </c>
      <c r="F48" s="46" t="s">
        <v>12</v>
      </c>
      <c r="G48" s="46" t="s">
        <v>12</v>
      </c>
      <c r="H48" s="170" t="s">
        <v>219</v>
      </c>
      <c r="I48" s="49" t="s">
        <v>12</v>
      </c>
      <c r="J48" s="216">
        <f>12140*12</f>
        <v>145680</v>
      </c>
      <c r="K48" s="216" t="s">
        <v>12</v>
      </c>
      <c r="L48" s="216">
        <f>1145*12</f>
        <v>13740</v>
      </c>
      <c r="M48" s="223">
        <f t="shared" si="0"/>
        <v>159420</v>
      </c>
    </row>
    <row r="49" spans="1:13" ht="24">
      <c r="A49" s="46">
        <v>33</v>
      </c>
      <c r="B49" s="159" t="s">
        <v>189</v>
      </c>
      <c r="C49" s="170" t="s">
        <v>28</v>
      </c>
      <c r="D49" s="170" t="s">
        <v>20</v>
      </c>
      <c r="E49" s="170" t="s">
        <v>26</v>
      </c>
      <c r="F49" s="46" t="s">
        <v>12</v>
      </c>
      <c r="G49" s="46" t="s">
        <v>12</v>
      </c>
      <c r="H49" s="170" t="s">
        <v>26</v>
      </c>
      <c r="I49" s="49" t="s">
        <v>12</v>
      </c>
      <c r="J49" s="216">
        <f>9000*12</f>
        <v>108000</v>
      </c>
      <c r="K49" s="216" t="s">
        <v>12</v>
      </c>
      <c r="L49" s="216">
        <f>1000*12</f>
        <v>12000</v>
      </c>
      <c r="M49" s="223">
        <f t="shared" si="0"/>
        <v>120000</v>
      </c>
    </row>
    <row r="50" spans="1:13" ht="24">
      <c r="A50" s="46">
        <v>34</v>
      </c>
      <c r="B50" s="159" t="s">
        <v>190</v>
      </c>
      <c r="C50" s="170" t="s">
        <v>19</v>
      </c>
      <c r="D50" s="170" t="s">
        <v>20</v>
      </c>
      <c r="E50" s="170" t="s">
        <v>26</v>
      </c>
      <c r="F50" s="46" t="s">
        <v>12</v>
      </c>
      <c r="G50" s="46" t="s">
        <v>12</v>
      </c>
      <c r="H50" s="170" t="s">
        <v>26</v>
      </c>
      <c r="I50" s="49" t="s">
        <v>12</v>
      </c>
      <c r="J50" s="216">
        <f t="shared" ref="J50:J63" si="1">9000*12</f>
        <v>108000</v>
      </c>
      <c r="K50" s="216" t="s">
        <v>12</v>
      </c>
      <c r="L50" s="216">
        <f t="shared" ref="L50:L63" si="2">1000*12</f>
        <v>12000</v>
      </c>
      <c r="M50" s="223">
        <f t="shared" si="0"/>
        <v>120000</v>
      </c>
    </row>
    <row r="51" spans="1:13" ht="24">
      <c r="A51" s="46">
        <v>35</v>
      </c>
      <c r="B51" s="159" t="s">
        <v>191</v>
      </c>
      <c r="C51" s="170" t="s">
        <v>227</v>
      </c>
      <c r="D51" s="170" t="s">
        <v>20</v>
      </c>
      <c r="E51" s="170" t="s">
        <v>26</v>
      </c>
      <c r="F51" s="46" t="s">
        <v>12</v>
      </c>
      <c r="G51" s="46" t="s">
        <v>12</v>
      </c>
      <c r="H51" s="170" t="s">
        <v>26</v>
      </c>
      <c r="I51" s="49" t="s">
        <v>12</v>
      </c>
      <c r="J51" s="216">
        <f t="shared" si="1"/>
        <v>108000</v>
      </c>
      <c r="K51" s="216" t="s">
        <v>12</v>
      </c>
      <c r="L51" s="216">
        <f t="shared" si="2"/>
        <v>12000</v>
      </c>
      <c r="M51" s="223">
        <f t="shared" si="0"/>
        <v>120000</v>
      </c>
    </row>
    <row r="52" spans="1:13" ht="24">
      <c r="A52" s="46">
        <v>36</v>
      </c>
      <c r="B52" s="159" t="s">
        <v>192</v>
      </c>
      <c r="C52" s="170" t="s">
        <v>28</v>
      </c>
      <c r="D52" s="170" t="s">
        <v>20</v>
      </c>
      <c r="E52" s="170" t="s">
        <v>26</v>
      </c>
      <c r="F52" s="46" t="s">
        <v>12</v>
      </c>
      <c r="G52" s="46" t="s">
        <v>12</v>
      </c>
      <c r="H52" s="170" t="s">
        <v>26</v>
      </c>
      <c r="I52" s="49" t="s">
        <v>12</v>
      </c>
      <c r="J52" s="216">
        <f t="shared" si="1"/>
        <v>108000</v>
      </c>
      <c r="K52" s="216" t="s">
        <v>12</v>
      </c>
      <c r="L52" s="216">
        <f t="shared" si="2"/>
        <v>12000</v>
      </c>
      <c r="M52" s="223">
        <f t="shared" si="0"/>
        <v>120000</v>
      </c>
    </row>
    <row r="53" spans="1:13" ht="24">
      <c r="A53" s="46">
        <v>37</v>
      </c>
      <c r="B53" s="159" t="s">
        <v>193</v>
      </c>
      <c r="C53" s="170" t="s">
        <v>24</v>
      </c>
      <c r="D53" s="170" t="s">
        <v>20</v>
      </c>
      <c r="E53" s="170" t="s">
        <v>26</v>
      </c>
      <c r="F53" s="46" t="s">
        <v>12</v>
      </c>
      <c r="G53" s="46" t="s">
        <v>12</v>
      </c>
      <c r="H53" s="170" t="s">
        <v>26</v>
      </c>
      <c r="I53" s="49" t="s">
        <v>12</v>
      </c>
      <c r="J53" s="216">
        <f t="shared" si="1"/>
        <v>108000</v>
      </c>
      <c r="K53" s="216" t="s">
        <v>12</v>
      </c>
      <c r="L53" s="216">
        <f t="shared" si="2"/>
        <v>12000</v>
      </c>
      <c r="M53" s="223">
        <f t="shared" si="0"/>
        <v>120000</v>
      </c>
    </row>
    <row r="54" spans="1:13" ht="24">
      <c r="A54" s="46">
        <v>38</v>
      </c>
      <c r="B54" s="159" t="s">
        <v>194</v>
      </c>
      <c r="C54" s="170" t="s">
        <v>28</v>
      </c>
      <c r="D54" s="170" t="s">
        <v>20</v>
      </c>
      <c r="E54" s="170" t="s">
        <v>26</v>
      </c>
      <c r="F54" s="46" t="s">
        <v>12</v>
      </c>
      <c r="G54" s="46" t="s">
        <v>12</v>
      </c>
      <c r="H54" s="170" t="s">
        <v>26</v>
      </c>
      <c r="I54" s="49" t="s">
        <v>12</v>
      </c>
      <c r="J54" s="216">
        <f t="shared" si="1"/>
        <v>108000</v>
      </c>
      <c r="K54" s="216" t="s">
        <v>12</v>
      </c>
      <c r="L54" s="216">
        <f t="shared" si="2"/>
        <v>12000</v>
      </c>
      <c r="M54" s="223">
        <f t="shared" si="0"/>
        <v>120000</v>
      </c>
    </row>
    <row r="55" spans="1:13" ht="24">
      <c r="A55" s="65">
        <v>39</v>
      </c>
      <c r="B55" s="161" t="s">
        <v>195</v>
      </c>
      <c r="C55" s="162" t="s">
        <v>28</v>
      </c>
      <c r="D55" s="162" t="s">
        <v>20</v>
      </c>
      <c r="E55" s="162" t="s">
        <v>26</v>
      </c>
      <c r="F55" s="65" t="s">
        <v>12</v>
      </c>
      <c r="G55" s="65" t="s">
        <v>12</v>
      </c>
      <c r="H55" s="162" t="s">
        <v>26</v>
      </c>
      <c r="I55" s="68" t="s">
        <v>12</v>
      </c>
      <c r="J55" s="220">
        <f t="shared" si="1"/>
        <v>108000</v>
      </c>
      <c r="K55" s="220" t="s">
        <v>12</v>
      </c>
      <c r="L55" s="220">
        <f t="shared" si="2"/>
        <v>12000</v>
      </c>
      <c r="M55" s="224">
        <f t="shared" si="0"/>
        <v>120000</v>
      </c>
    </row>
    <row r="56" spans="1:13" ht="24">
      <c r="A56" s="41">
        <v>40</v>
      </c>
      <c r="B56" s="164" t="s">
        <v>196</v>
      </c>
      <c r="C56" s="165" t="s">
        <v>28</v>
      </c>
      <c r="D56" s="165" t="s">
        <v>20</v>
      </c>
      <c r="E56" s="165" t="s">
        <v>26</v>
      </c>
      <c r="F56" s="41" t="s">
        <v>12</v>
      </c>
      <c r="G56" s="41" t="s">
        <v>12</v>
      </c>
      <c r="H56" s="165" t="s">
        <v>26</v>
      </c>
      <c r="I56" s="43" t="s">
        <v>12</v>
      </c>
      <c r="J56" s="215">
        <f t="shared" si="1"/>
        <v>108000</v>
      </c>
      <c r="K56" s="215" t="s">
        <v>12</v>
      </c>
      <c r="L56" s="215">
        <f t="shared" si="2"/>
        <v>12000</v>
      </c>
      <c r="M56" s="225">
        <f t="shared" si="0"/>
        <v>120000</v>
      </c>
    </row>
    <row r="57" spans="1:13" ht="24">
      <c r="A57" s="46">
        <v>41</v>
      </c>
      <c r="B57" s="159" t="s">
        <v>197</v>
      </c>
      <c r="C57" s="170" t="s">
        <v>19</v>
      </c>
      <c r="D57" s="170" t="s">
        <v>20</v>
      </c>
      <c r="E57" s="170" t="s">
        <v>26</v>
      </c>
      <c r="F57" s="46" t="s">
        <v>12</v>
      </c>
      <c r="G57" s="46" t="s">
        <v>12</v>
      </c>
      <c r="H57" s="170" t="s">
        <v>26</v>
      </c>
      <c r="I57" s="49" t="s">
        <v>12</v>
      </c>
      <c r="J57" s="216">
        <f t="shared" si="1"/>
        <v>108000</v>
      </c>
      <c r="K57" s="216" t="s">
        <v>12</v>
      </c>
      <c r="L57" s="216">
        <f t="shared" si="2"/>
        <v>12000</v>
      </c>
      <c r="M57" s="223">
        <f t="shared" si="0"/>
        <v>120000</v>
      </c>
    </row>
    <row r="58" spans="1:13" ht="24">
      <c r="A58" s="46">
        <v>42</v>
      </c>
      <c r="B58" s="175" t="s">
        <v>198</v>
      </c>
      <c r="C58" s="176" t="s">
        <v>28</v>
      </c>
      <c r="D58" s="176" t="s">
        <v>20</v>
      </c>
      <c r="E58" s="176" t="s">
        <v>26</v>
      </c>
      <c r="F58" s="46" t="s">
        <v>12</v>
      </c>
      <c r="G58" s="46" t="s">
        <v>12</v>
      </c>
      <c r="H58" s="176" t="s">
        <v>26</v>
      </c>
      <c r="I58" s="49" t="s">
        <v>12</v>
      </c>
      <c r="J58" s="216">
        <f t="shared" si="1"/>
        <v>108000</v>
      </c>
      <c r="K58" s="216" t="s">
        <v>12</v>
      </c>
      <c r="L58" s="216">
        <f t="shared" si="2"/>
        <v>12000</v>
      </c>
      <c r="M58" s="223">
        <f t="shared" si="0"/>
        <v>120000</v>
      </c>
    </row>
    <row r="59" spans="1:13" ht="24">
      <c r="A59" s="46">
        <v>43</v>
      </c>
      <c r="B59" s="159" t="s">
        <v>199</v>
      </c>
      <c r="C59" s="170" t="s">
        <v>28</v>
      </c>
      <c r="D59" s="170" t="s">
        <v>20</v>
      </c>
      <c r="E59" s="170" t="s">
        <v>26</v>
      </c>
      <c r="F59" s="46" t="s">
        <v>12</v>
      </c>
      <c r="G59" s="46" t="s">
        <v>12</v>
      </c>
      <c r="H59" s="170" t="s">
        <v>26</v>
      </c>
      <c r="I59" s="49" t="s">
        <v>12</v>
      </c>
      <c r="J59" s="216">
        <f t="shared" si="1"/>
        <v>108000</v>
      </c>
      <c r="K59" s="216" t="s">
        <v>12</v>
      </c>
      <c r="L59" s="216">
        <f t="shared" si="2"/>
        <v>12000</v>
      </c>
      <c r="M59" s="223">
        <f t="shared" si="0"/>
        <v>120000</v>
      </c>
    </row>
    <row r="60" spans="1:13" ht="24">
      <c r="A60" s="46">
        <v>44</v>
      </c>
      <c r="B60" s="159" t="s">
        <v>200</v>
      </c>
      <c r="C60" s="170" t="s">
        <v>19</v>
      </c>
      <c r="D60" s="170" t="s">
        <v>20</v>
      </c>
      <c r="E60" s="170" t="s">
        <v>26</v>
      </c>
      <c r="F60" s="46" t="s">
        <v>12</v>
      </c>
      <c r="G60" s="46" t="s">
        <v>12</v>
      </c>
      <c r="H60" s="170" t="s">
        <v>26</v>
      </c>
      <c r="I60" s="49" t="s">
        <v>12</v>
      </c>
      <c r="J60" s="216">
        <f t="shared" si="1"/>
        <v>108000</v>
      </c>
      <c r="K60" s="216" t="s">
        <v>12</v>
      </c>
      <c r="L60" s="216">
        <f t="shared" si="2"/>
        <v>12000</v>
      </c>
      <c r="M60" s="223">
        <f t="shared" si="0"/>
        <v>120000</v>
      </c>
    </row>
    <row r="61" spans="1:13" ht="24">
      <c r="A61" s="46">
        <v>45</v>
      </c>
      <c r="B61" s="159" t="s">
        <v>201</v>
      </c>
      <c r="C61" s="170" t="s">
        <v>24</v>
      </c>
      <c r="D61" s="170" t="s">
        <v>20</v>
      </c>
      <c r="E61" s="170" t="s">
        <v>26</v>
      </c>
      <c r="F61" s="46" t="s">
        <v>12</v>
      </c>
      <c r="G61" s="46" t="s">
        <v>12</v>
      </c>
      <c r="H61" s="170" t="s">
        <v>26</v>
      </c>
      <c r="I61" s="49" t="s">
        <v>12</v>
      </c>
      <c r="J61" s="216">
        <f t="shared" si="1"/>
        <v>108000</v>
      </c>
      <c r="K61" s="216" t="s">
        <v>12</v>
      </c>
      <c r="L61" s="216">
        <f t="shared" si="2"/>
        <v>12000</v>
      </c>
      <c r="M61" s="223">
        <f t="shared" si="0"/>
        <v>120000</v>
      </c>
    </row>
    <row r="62" spans="1:13" ht="24">
      <c r="A62" s="46">
        <v>46</v>
      </c>
      <c r="B62" s="159" t="s">
        <v>202</v>
      </c>
      <c r="C62" s="170" t="s">
        <v>28</v>
      </c>
      <c r="D62" s="170" t="s">
        <v>20</v>
      </c>
      <c r="E62" s="170" t="s">
        <v>26</v>
      </c>
      <c r="F62" s="46" t="s">
        <v>12</v>
      </c>
      <c r="G62" s="46" t="s">
        <v>12</v>
      </c>
      <c r="H62" s="170" t="s">
        <v>26</v>
      </c>
      <c r="I62" s="49" t="s">
        <v>12</v>
      </c>
      <c r="J62" s="216">
        <f t="shared" si="1"/>
        <v>108000</v>
      </c>
      <c r="K62" s="216" t="s">
        <v>12</v>
      </c>
      <c r="L62" s="216">
        <f t="shared" si="2"/>
        <v>12000</v>
      </c>
      <c r="M62" s="223">
        <f t="shared" si="0"/>
        <v>120000</v>
      </c>
    </row>
    <row r="63" spans="1:13" ht="24">
      <c r="A63" s="46">
        <v>47</v>
      </c>
      <c r="B63" s="159" t="s">
        <v>203</v>
      </c>
      <c r="C63" s="170" t="s">
        <v>227</v>
      </c>
      <c r="D63" s="170" t="s">
        <v>12</v>
      </c>
      <c r="E63" s="170" t="s">
        <v>26</v>
      </c>
      <c r="F63" s="46" t="s">
        <v>12</v>
      </c>
      <c r="G63" s="46" t="s">
        <v>12</v>
      </c>
      <c r="H63" s="170" t="s">
        <v>26</v>
      </c>
      <c r="I63" s="49" t="s">
        <v>12</v>
      </c>
      <c r="J63" s="216">
        <f t="shared" si="1"/>
        <v>108000</v>
      </c>
      <c r="K63" s="216" t="s">
        <v>12</v>
      </c>
      <c r="L63" s="216">
        <f t="shared" si="2"/>
        <v>12000</v>
      </c>
      <c r="M63" s="223">
        <f t="shared" si="0"/>
        <v>120000</v>
      </c>
    </row>
    <row r="64" spans="1:13" ht="24">
      <c r="A64" s="46">
        <v>48</v>
      </c>
      <c r="B64" s="170" t="s">
        <v>12</v>
      </c>
      <c r="C64" s="170" t="s">
        <v>12</v>
      </c>
      <c r="D64" s="170" t="s">
        <v>20</v>
      </c>
      <c r="E64" s="170" t="s">
        <v>26</v>
      </c>
      <c r="F64" s="46" t="s">
        <v>12</v>
      </c>
      <c r="G64" s="46" t="s">
        <v>12</v>
      </c>
      <c r="H64" s="170" t="s">
        <v>26</v>
      </c>
      <c r="I64" s="49" t="s">
        <v>12</v>
      </c>
      <c r="J64" s="216" t="s">
        <v>12</v>
      </c>
      <c r="K64" s="216" t="s">
        <v>12</v>
      </c>
      <c r="L64" s="216" t="s">
        <v>12</v>
      </c>
      <c r="M64" s="170" t="s">
        <v>307</v>
      </c>
    </row>
    <row r="65" spans="1:13" ht="24">
      <c r="A65" s="46">
        <v>49</v>
      </c>
      <c r="B65" s="170" t="s">
        <v>12</v>
      </c>
      <c r="C65" s="170" t="s">
        <v>12</v>
      </c>
      <c r="D65" s="170" t="s">
        <v>12</v>
      </c>
      <c r="E65" s="170" t="s">
        <v>26</v>
      </c>
      <c r="F65" s="46" t="s">
        <v>12</v>
      </c>
      <c r="G65" s="46" t="s">
        <v>12</v>
      </c>
      <c r="H65" s="170" t="s">
        <v>26</v>
      </c>
      <c r="I65" s="49" t="s">
        <v>12</v>
      </c>
      <c r="J65" s="216" t="s">
        <v>12</v>
      </c>
      <c r="K65" s="216" t="s">
        <v>12</v>
      </c>
      <c r="L65" s="216" t="s">
        <v>12</v>
      </c>
      <c r="M65" s="170" t="s">
        <v>307</v>
      </c>
    </row>
    <row r="66" spans="1:13" ht="24">
      <c r="A66" s="46">
        <v>50</v>
      </c>
      <c r="B66" s="170" t="s">
        <v>12</v>
      </c>
      <c r="C66" s="170" t="s">
        <v>12</v>
      </c>
      <c r="D66" s="170" t="s">
        <v>12</v>
      </c>
      <c r="E66" s="170" t="s">
        <v>26</v>
      </c>
      <c r="F66" s="46" t="s">
        <v>12</v>
      </c>
      <c r="G66" s="46" t="s">
        <v>12</v>
      </c>
      <c r="H66" s="170" t="s">
        <v>26</v>
      </c>
      <c r="I66" s="49" t="s">
        <v>12</v>
      </c>
      <c r="J66" s="216" t="s">
        <v>12</v>
      </c>
      <c r="K66" s="216" t="s">
        <v>12</v>
      </c>
      <c r="L66" s="216" t="s">
        <v>12</v>
      </c>
      <c r="M66" s="170" t="s">
        <v>307</v>
      </c>
    </row>
    <row r="67" spans="1:13" ht="24">
      <c r="A67" s="46">
        <v>51</v>
      </c>
      <c r="B67" s="170" t="s">
        <v>12</v>
      </c>
      <c r="C67" s="170" t="s">
        <v>12</v>
      </c>
      <c r="D67" s="170" t="s">
        <v>12</v>
      </c>
      <c r="E67" s="170" t="s">
        <v>26</v>
      </c>
      <c r="F67" s="46" t="s">
        <v>12</v>
      </c>
      <c r="G67" s="46" t="s">
        <v>12</v>
      </c>
      <c r="H67" s="170" t="s">
        <v>26</v>
      </c>
      <c r="I67" s="49" t="s">
        <v>12</v>
      </c>
      <c r="J67" s="216" t="s">
        <v>12</v>
      </c>
      <c r="K67" s="216" t="s">
        <v>12</v>
      </c>
      <c r="L67" s="216" t="s">
        <v>12</v>
      </c>
      <c r="M67" s="170" t="s">
        <v>307</v>
      </c>
    </row>
    <row r="68" spans="1:13" ht="24">
      <c r="A68" s="46">
        <v>52</v>
      </c>
      <c r="B68" s="170" t="s">
        <v>12</v>
      </c>
      <c r="C68" s="170" t="s">
        <v>12</v>
      </c>
      <c r="D68" s="170" t="s">
        <v>12</v>
      </c>
      <c r="E68" s="170" t="s">
        <v>26</v>
      </c>
      <c r="F68" s="46" t="s">
        <v>12</v>
      </c>
      <c r="G68" s="46" t="s">
        <v>12</v>
      </c>
      <c r="H68" s="170" t="s">
        <v>26</v>
      </c>
      <c r="I68" s="49" t="s">
        <v>12</v>
      </c>
      <c r="J68" s="216" t="s">
        <v>12</v>
      </c>
      <c r="K68" s="216" t="s">
        <v>12</v>
      </c>
      <c r="L68" s="216" t="s">
        <v>12</v>
      </c>
      <c r="M68" s="170" t="s">
        <v>307</v>
      </c>
    </row>
    <row r="69" spans="1:13" ht="24">
      <c r="A69" s="46">
        <v>53</v>
      </c>
      <c r="B69" s="170" t="s">
        <v>12</v>
      </c>
      <c r="C69" s="170" t="s">
        <v>12</v>
      </c>
      <c r="D69" s="170" t="s">
        <v>12</v>
      </c>
      <c r="E69" s="170" t="s">
        <v>26</v>
      </c>
      <c r="F69" s="46" t="s">
        <v>12</v>
      </c>
      <c r="G69" s="46" t="s">
        <v>12</v>
      </c>
      <c r="H69" s="170" t="s">
        <v>26</v>
      </c>
      <c r="I69" s="49" t="s">
        <v>12</v>
      </c>
      <c r="J69" s="216" t="s">
        <v>12</v>
      </c>
      <c r="K69" s="216" t="s">
        <v>12</v>
      </c>
      <c r="L69" s="216" t="s">
        <v>12</v>
      </c>
      <c r="M69" s="170" t="s">
        <v>307</v>
      </c>
    </row>
    <row r="70" spans="1:13">
      <c r="A70" s="9"/>
      <c r="B70" s="4"/>
      <c r="C70" s="4"/>
      <c r="D70" s="4"/>
      <c r="E70" s="4"/>
      <c r="F70" s="9"/>
      <c r="G70" s="9"/>
      <c r="H70" s="4"/>
      <c r="I70" s="5"/>
      <c r="J70" s="16"/>
      <c r="K70" s="16"/>
      <c r="L70" s="16"/>
      <c r="M70" s="4"/>
    </row>
    <row r="71" spans="1:13">
      <c r="A71" s="232"/>
      <c r="B71" s="14"/>
      <c r="C71" s="14"/>
      <c r="D71" s="14"/>
      <c r="E71" s="14"/>
      <c r="F71" s="232"/>
      <c r="G71" s="232"/>
      <c r="H71" s="14"/>
      <c r="I71" s="233"/>
      <c r="J71" s="234"/>
      <c r="K71" s="234"/>
      <c r="L71" s="234"/>
      <c r="M71" s="14"/>
    </row>
    <row r="72" spans="1:13">
      <c r="A72" s="15"/>
      <c r="B72" s="7"/>
      <c r="C72" s="7"/>
      <c r="D72" s="7"/>
      <c r="E72" s="7"/>
      <c r="F72" s="15"/>
      <c r="G72" s="15"/>
      <c r="H72" s="7"/>
      <c r="I72" s="10"/>
      <c r="J72" s="17"/>
      <c r="K72" s="17"/>
      <c r="L72" s="17"/>
      <c r="M72" s="7"/>
    </row>
    <row r="73" spans="1:13" ht="24">
      <c r="A73" s="41"/>
      <c r="B73" s="226" t="s">
        <v>204</v>
      </c>
      <c r="C73" s="165"/>
      <c r="D73" s="165"/>
      <c r="E73" s="165"/>
      <c r="F73" s="41"/>
      <c r="G73" s="41"/>
      <c r="H73" s="165"/>
      <c r="I73" s="43"/>
      <c r="J73" s="215"/>
      <c r="K73" s="215"/>
      <c r="L73" s="215"/>
      <c r="M73" s="165"/>
    </row>
    <row r="74" spans="1:13" ht="24">
      <c r="A74" s="46">
        <v>54</v>
      </c>
      <c r="B74" s="159" t="s">
        <v>466</v>
      </c>
      <c r="C74" s="170" t="s">
        <v>229</v>
      </c>
      <c r="D74" s="170" t="s">
        <v>467</v>
      </c>
      <c r="E74" s="170" t="s">
        <v>221</v>
      </c>
      <c r="F74" s="46">
        <v>7</v>
      </c>
      <c r="G74" s="49" t="s">
        <v>449</v>
      </c>
      <c r="H74" s="170" t="s">
        <v>221</v>
      </c>
      <c r="I74" s="49" t="s">
        <v>300</v>
      </c>
      <c r="J74" s="216">
        <f>28560*12</f>
        <v>342720</v>
      </c>
      <c r="K74" s="216">
        <f>1500*9</f>
        <v>13500</v>
      </c>
      <c r="L74" s="216" t="s">
        <v>12</v>
      </c>
      <c r="M74" s="223">
        <f>SUM(J74:L74)</f>
        <v>356220</v>
      </c>
    </row>
    <row r="75" spans="1:13" ht="24">
      <c r="A75" s="46"/>
      <c r="B75" s="159"/>
      <c r="C75" s="170"/>
      <c r="D75" s="170"/>
      <c r="E75" s="170" t="s">
        <v>214</v>
      </c>
      <c r="F75" s="46"/>
      <c r="G75" s="46"/>
      <c r="H75" s="170" t="s">
        <v>214</v>
      </c>
      <c r="I75" s="49"/>
      <c r="J75" s="216"/>
      <c r="K75" s="216"/>
      <c r="L75" s="216"/>
      <c r="M75" s="170"/>
    </row>
    <row r="76" spans="1:13" ht="24">
      <c r="A76" s="46"/>
      <c r="B76" s="227" t="s">
        <v>468</v>
      </c>
      <c r="C76" s="170"/>
      <c r="D76" s="170"/>
      <c r="E76" s="170"/>
      <c r="F76" s="46"/>
      <c r="G76" s="46"/>
      <c r="H76" s="170"/>
      <c r="I76" s="49"/>
      <c r="J76" s="216"/>
      <c r="K76" s="216"/>
      <c r="L76" s="216"/>
      <c r="M76" s="170"/>
    </row>
    <row r="77" spans="1:13" ht="24">
      <c r="A77" s="46">
        <v>55</v>
      </c>
      <c r="B77" s="170" t="s">
        <v>12</v>
      </c>
      <c r="C77" s="170" t="s">
        <v>12</v>
      </c>
      <c r="D77" s="170" t="s">
        <v>469</v>
      </c>
      <c r="E77" s="170" t="s">
        <v>470</v>
      </c>
      <c r="F77" s="46" t="s">
        <v>471</v>
      </c>
      <c r="G77" s="49" t="s">
        <v>473</v>
      </c>
      <c r="H77" s="170" t="s">
        <v>470</v>
      </c>
      <c r="I77" s="49" t="s">
        <v>472</v>
      </c>
      <c r="J77" s="216" t="s">
        <v>12</v>
      </c>
      <c r="K77" s="216" t="s">
        <v>12</v>
      </c>
      <c r="L77" s="216" t="s">
        <v>12</v>
      </c>
      <c r="M77" s="170" t="s">
        <v>307</v>
      </c>
    </row>
    <row r="78" spans="1:13" ht="24">
      <c r="A78" s="46">
        <v>56</v>
      </c>
      <c r="B78" s="183" t="s">
        <v>205</v>
      </c>
      <c r="C78" s="184" t="s">
        <v>157</v>
      </c>
      <c r="D78" s="184" t="s">
        <v>12</v>
      </c>
      <c r="E78" s="176" t="s">
        <v>222</v>
      </c>
      <c r="F78" s="46" t="s">
        <v>12</v>
      </c>
      <c r="G78" s="49" t="s">
        <v>12</v>
      </c>
      <c r="H78" s="176" t="s">
        <v>222</v>
      </c>
      <c r="I78" s="49" t="s">
        <v>12</v>
      </c>
      <c r="J78" s="216">
        <f>13470*12</f>
        <v>161640</v>
      </c>
      <c r="K78" s="216" t="s">
        <v>12</v>
      </c>
      <c r="L78" s="216" t="s">
        <v>12</v>
      </c>
      <c r="M78" s="170"/>
    </row>
    <row r="79" spans="1:13" ht="24">
      <c r="A79" s="46">
        <v>57</v>
      </c>
      <c r="B79" s="95" t="s">
        <v>206</v>
      </c>
      <c r="C79" s="96" t="s">
        <v>27</v>
      </c>
      <c r="D79" s="96" t="s">
        <v>12</v>
      </c>
      <c r="E79" s="96" t="s">
        <v>26</v>
      </c>
      <c r="F79" s="46" t="s">
        <v>12</v>
      </c>
      <c r="G79" s="49" t="s">
        <v>12</v>
      </c>
      <c r="H79" s="96" t="s">
        <v>26</v>
      </c>
      <c r="I79" s="49" t="s">
        <v>12</v>
      </c>
      <c r="J79" s="216">
        <f>9000*12</f>
        <v>108000</v>
      </c>
      <c r="K79" s="216" t="s">
        <v>12</v>
      </c>
      <c r="L79" s="216">
        <f>1000*12</f>
        <v>12000</v>
      </c>
      <c r="M79" s="223">
        <f>J79+L79</f>
        <v>120000</v>
      </c>
    </row>
    <row r="80" spans="1:13" ht="24">
      <c r="A80" s="46"/>
      <c r="B80" s="227" t="s">
        <v>207</v>
      </c>
      <c r="C80" s="170"/>
      <c r="D80" s="170"/>
      <c r="E80" s="170"/>
      <c r="F80" s="46"/>
      <c r="G80" s="49"/>
      <c r="H80" s="170"/>
      <c r="I80" s="49"/>
      <c r="J80" s="216"/>
      <c r="K80" s="216"/>
      <c r="L80" s="216"/>
      <c r="M80" s="170"/>
    </row>
    <row r="81" spans="1:13" ht="24">
      <c r="A81" s="46">
        <v>58</v>
      </c>
      <c r="B81" s="170" t="s">
        <v>12</v>
      </c>
      <c r="C81" s="170" t="s">
        <v>12</v>
      </c>
      <c r="D81" s="170" t="s">
        <v>474</v>
      </c>
      <c r="E81" s="170" t="s">
        <v>475</v>
      </c>
      <c r="F81" s="46" t="s">
        <v>397</v>
      </c>
      <c r="G81" s="49" t="s">
        <v>477</v>
      </c>
      <c r="H81" s="170" t="s">
        <v>475</v>
      </c>
      <c r="I81" s="49" t="s">
        <v>439</v>
      </c>
      <c r="J81" s="216" t="s">
        <v>12</v>
      </c>
      <c r="K81" s="216" t="s">
        <v>12</v>
      </c>
      <c r="L81" s="216" t="s">
        <v>12</v>
      </c>
      <c r="M81" s="170" t="s">
        <v>307</v>
      </c>
    </row>
    <row r="82" spans="1:13" ht="24">
      <c r="A82" s="46">
        <v>59</v>
      </c>
      <c r="B82" s="95" t="s">
        <v>208</v>
      </c>
      <c r="C82" s="96" t="s">
        <v>29</v>
      </c>
      <c r="D82" s="96" t="s">
        <v>12</v>
      </c>
      <c r="E82" s="96" t="s">
        <v>223</v>
      </c>
      <c r="F82" s="46" t="s">
        <v>12</v>
      </c>
      <c r="G82" s="49" t="s">
        <v>12</v>
      </c>
      <c r="H82" s="96" t="s">
        <v>223</v>
      </c>
      <c r="I82" s="49" t="s">
        <v>12</v>
      </c>
      <c r="J82" s="216">
        <f>15280*12</f>
        <v>183360</v>
      </c>
      <c r="K82" s="216" t="s">
        <v>12</v>
      </c>
      <c r="L82" s="216" t="s">
        <v>12</v>
      </c>
      <c r="M82" s="170"/>
    </row>
    <row r="83" spans="1:13" ht="24">
      <c r="A83" s="46"/>
      <c r="B83" s="227" t="s">
        <v>209</v>
      </c>
      <c r="C83" s="170"/>
      <c r="D83" s="170"/>
      <c r="E83" s="170"/>
      <c r="F83" s="46"/>
      <c r="G83" s="49"/>
      <c r="H83" s="170"/>
      <c r="I83" s="49"/>
      <c r="J83" s="216"/>
      <c r="K83" s="216"/>
      <c r="L83" s="216"/>
      <c r="M83" s="170"/>
    </row>
    <row r="84" spans="1:13" ht="24">
      <c r="A84" s="46">
        <v>60</v>
      </c>
      <c r="B84" s="170" t="s">
        <v>12</v>
      </c>
      <c r="C84" s="170" t="s">
        <v>12</v>
      </c>
      <c r="D84" s="170" t="s">
        <v>478</v>
      </c>
      <c r="E84" s="170" t="s">
        <v>470</v>
      </c>
      <c r="F84" s="46" t="s">
        <v>471</v>
      </c>
      <c r="G84" s="49" t="s">
        <v>476</v>
      </c>
      <c r="H84" s="170" t="s">
        <v>470</v>
      </c>
      <c r="I84" s="49" t="s">
        <v>472</v>
      </c>
      <c r="J84" s="216" t="s">
        <v>12</v>
      </c>
      <c r="K84" s="216" t="s">
        <v>12</v>
      </c>
      <c r="L84" s="216" t="s">
        <v>12</v>
      </c>
      <c r="M84" s="170" t="s">
        <v>307</v>
      </c>
    </row>
    <row r="85" spans="1:13" ht="24">
      <c r="A85" s="46"/>
      <c r="B85" s="227" t="s">
        <v>210</v>
      </c>
      <c r="C85" s="170"/>
      <c r="D85" s="170"/>
      <c r="E85" s="170"/>
      <c r="F85" s="46"/>
      <c r="G85" s="49"/>
      <c r="H85" s="170"/>
      <c r="I85" s="49"/>
      <c r="J85" s="216"/>
      <c r="K85" s="216"/>
      <c r="L85" s="216"/>
      <c r="M85" s="170"/>
    </row>
    <row r="86" spans="1:13" ht="24">
      <c r="A86" s="46">
        <v>61</v>
      </c>
      <c r="B86" s="228" t="s">
        <v>211</v>
      </c>
      <c r="C86" s="170" t="s">
        <v>229</v>
      </c>
      <c r="D86" s="170" t="s">
        <v>480</v>
      </c>
      <c r="E86" s="170" t="s">
        <v>470</v>
      </c>
      <c r="F86" s="46" t="s">
        <v>312</v>
      </c>
      <c r="G86" s="49" t="s">
        <v>482</v>
      </c>
      <c r="H86" s="170" t="s">
        <v>470</v>
      </c>
      <c r="I86" s="49" t="s">
        <v>316</v>
      </c>
      <c r="J86" s="216">
        <f>24730*12</f>
        <v>296760</v>
      </c>
      <c r="K86" s="216">
        <f>1000*12</f>
        <v>12000</v>
      </c>
      <c r="L86" s="216" t="s">
        <v>12</v>
      </c>
      <c r="M86" s="223">
        <f>SUM(J86:L86)</f>
        <v>308760</v>
      </c>
    </row>
    <row r="87" spans="1:13" ht="24">
      <c r="A87" s="46">
        <v>62</v>
      </c>
      <c r="B87" s="229" t="s">
        <v>12</v>
      </c>
      <c r="C87" s="170" t="s">
        <v>12</v>
      </c>
      <c r="D87" s="170" t="s">
        <v>479</v>
      </c>
      <c r="E87" s="170" t="s">
        <v>470</v>
      </c>
      <c r="F87" s="46" t="s">
        <v>471</v>
      </c>
      <c r="G87" s="49" t="s">
        <v>481</v>
      </c>
      <c r="H87" s="170" t="s">
        <v>470</v>
      </c>
      <c r="I87" s="49" t="s">
        <v>472</v>
      </c>
      <c r="J87" s="216" t="s">
        <v>12</v>
      </c>
      <c r="K87" s="216" t="s">
        <v>12</v>
      </c>
      <c r="L87" s="216" t="s">
        <v>12</v>
      </c>
      <c r="M87" s="170" t="s">
        <v>307</v>
      </c>
    </row>
    <row r="88" spans="1:13" ht="24">
      <c r="A88" s="65"/>
      <c r="B88" s="230"/>
      <c r="C88" s="162"/>
      <c r="D88" s="162"/>
      <c r="E88" s="162"/>
      <c r="F88" s="65"/>
      <c r="G88" s="68"/>
      <c r="H88" s="162"/>
      <c r="I88" s="68"/>
      <c r="J88" s="220"/>
      <c r="K88" s="220"/>
      <c r="L88" s="220"/>
      <c r="M88" s="162"/>
    </row>
    <row r="89" spans="1:13" ht="24">
      <c r="A89" s="41">
        <v>63</v>
      </c>
      <c r="B89" s="231" t="s">
        <v>212</v>
      </c>
      <c r="C89" s="165" t="s">
        <v>226</v>
      </c>
      <c r="D89" s="165" t="s">
        <v>483</v>
      </c>
      <c r="E89" s="165" t="s">
        <v>224</v>
      </c>
      <c r="F89" s="41">
        <v>5</v>
      </c>
      <c r="G89" s="43" t="s">
        <v>484</v>
      </c>
      <c r="H89" s="165" t="s">
        <v>485</v>
      </c>
      <c r="I89" s="43" t="s">
        <v>319</v>
      </c>
      <c r="J89" s="215">
        <f>22980*12</f>
        <v>275760</v>
      </c>
      <c r="K89" s="215" t="s">
        <v>12</v>
      </c>
      <c r="L89" s="215" t="s">
        <v>12</v>
      </c>
      <c r="M89" s="165"/>
    </row>
    <row r="90" spans="1:13" ht="24">
      <c r="A90" s="65">
        <v>64</v>
      </c>
      <c r="B90" s="162" t="s">
        <v>12</v>
      </c>
      <c r="C90" s="162" t="s">
        <v>12</v>
      </c>
      <c r="D90" s="162" t="s">
        <v>12</v>
      </c>
      <c r="E90" s="162" t="s">
        <v>486</v>
      </c>
      <c r="F90" s="65" t="s">
        <v>12</v>
      </c>
      <c r="G90" s="68" t="s">
        <v>12</v>
      </c>
      <c r="H90" s="162" t="s">
        <v>225</v>
      </c>
      <c r="I90" s="68" t="s">
        <v>12</v>
      </c>
      <c r="J90" s="220" t="s">
        <v>12</v>
      </c>
      <c r="K90" s="220" t="s">
        <v>12</v>
      </c>
      <c r="L90" s="220" t="s">
        <v>12</v>
      </c>
      <c r="M90" s="162" t="s">
        <v>307</v>
      </c>
    </row>
    <row r="91" spans="1:13" ht="24">
      <c r="A91" s="64"/>
      <c r="B91" s="107"/>
      <c r="C91" s="64"/>
      <c r="D91" s="108"/>
      <c r="E91" s="64"/>
      <c r="F91" s="64"/>
      <c r="G91" s="64"/>
      <c r="H91" s="64"/>
      <c r="I91" s="106"/>
      <c r="J91" s="108"/>
      <c r="K91" s="108"/>
      <c r="L91" s="108"/>
      <c r="M91" s="108"/>
    </row>
    <row r="92" spans="1:13" ht="24">
      <c r="A92" s="64"/>
      <c r="B92" s="107"/>
      <c r="C92" s="64"/>
      <c r="D92" s="108"/>
      <c r="E92" s="64"/>
      <c r="F92" s="64"/>
      <c r="G92" s="64"/>
      <c r="H92" s="64"/>
      <c r="I92" s="106"/>
      <c r="J92" s="108"/>
      <c r="K92" s="108"/>
      <c r="L92" s="108"/>
      <c r="M92" s="108"/>
    </row>
    <row r="93" spans="1:13" ht="24">
      <c r="A93" s="64"/>
      <c r="B93" s="107"/>
      <c r="C93" s="64"/>
      <c r="D93" s="108"/>
      <c r="E93" s="64"/>
      <c r="F93" s="64"/>
      <c r="G93" s="64"/>
      <c r="H93" s="64"/>
      <c r="I93" s="106"/>
      <c r="J93" s="108"/>
      <c r="K93" s="108"/>
      <c r="L93" s="108"/>
      <c r="M93" s="108"/>
    </row>
    <row r="94" spans="1:13" ht="24">
      <c r="A94" s="64"/>
      <c r="B94" s="107"/>
      <c r="C94" s="64"/>
      <c r="D94" s="108"/>
      <c r="E94" s="64"/>
      <c r="F94" s="64"/>
      <c r="G94" s="64"/>
      <c r="H94" s="64"/>
      <c r="I94" s="106"/>
      <c r="J94" s="108"/>
      <c r="K94" s="108"/>
      <c r="L94" s="108"/>
      <c r="M94" s="108"/>
    </row>
    <row r="95" spans="1:13" ht="24">
      <c r="A95" s="64"/>
      <c r="B95" s="107"/>
      <c r="C95" s="64"/>
      <c r="D95" s="108"/>
      <c r="E95" s="64"/>
      <c r="F95" s="64"/>
      <c r="G95" s="64"/>
      <c r="H95" s="64"/>
      <c r="I95" s="106"/>
      <c r="J95" s="108"/>
      <c r="K95" s="108"/>
      <c r="L95" s="108"/>
      <c r="M95" s="108"/>
    </row>
  </sheetData>
  <mergeCells count="7">
    <mergeCell ref="A1:M1"/>
    <mergeCell ref="A2:M2"/>
    <mergeCell ref="A3:M3"/>
    <mergeCell ref="A4:M4"/>
    <mergeCell ref="D5:F5"/>
    <mergeCell ref="G5:I5"/>
    <mergeCell ref="J5:L5"/>
  </mergeCells>
  <pageMargins left="0.15748031496062992" right="0.15748031496062992" top="0.21" bottom="0.23622047244094491" header="0.17" footer="0.1574803149606299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view="pageBreakPreview" topLeftCell="A22" zoomScale="91" zoomScaleNormal="106" zoomScaleSheetLayoutView="91" workbookViewId="0">
      <selection activeCell="H16" sqref="H16"/>
    </sheetView>
  </sheetViews>
  <sheetFormatPr defaultRowHeight="24"/>
  <cols>
    <col min="1" max="1" width="3.5" style="64" customWidth="1"/>
    <col min="2" max="2" width="16.625" style="107" customWidth="1"/>
    <col min="3" max="3" width="7" style="64" customWidth="1"/>
    <col min="4" max="4" width="9.5" style="108" customWidth="1"/>
    <col min="5" max="5" width="18.125" style="64" customWidth="1"/>
    <col min="6" max="6" width="4.625" style="64" customWidth="1"/>
    <col min="7" max="7" width="15.375" style="64" customWidth="1"/>
    <col min="8" max="8" width="18.625" style="64" customWidth="1"/>
    <col min="9" max="9" width="6" style="106" customWidth="1"/>
    <col min="10" max="10" width="8.125" style="108" customWidth="1"/>
    <col min="11" max="12" width="9" style="108"/>
    <col min="13" max="13" width="8.375" style="108" customWidth="1"/>
    <col min="14" max="16384" width="9" style="64"/>
  </cols>
  <sheetData>
    <row r="1" spans="1:13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>
      <c r="A2" s="195" t="s">
        <v>287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>
      <c r="A3" s="196" t="s">
        <v>230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21.75" customHeight="1">
      <c r="A5" s="153"/>
      <c r="B5" s="21"/>
      <c r="C5" s="22"/>
      <c r="D5" s="190" t="s">
        <v>289</v>
      </c>
      <c r="E5" s="191"/>
      <c r="F5" s="192"/>
      <c r="G5" s="190" t="s">
        <v>637</v>
      </c>
      <c r="H5" s="191"/>
      <c r="I5" s="192"/>
      <c r="J5" s="190" t="s">
        <v>3</v>
      </c>
      <c r="K5" s="191"/>
      <c r="L5" s="192"/>
      <c r="M5" s="23"/>
    </row>
    <row r="6" spans="1:13" ht="20.25" customHeight="1">
      <c r="A6" s="24" t="s">
        <v>73</v>
      </c>
      <c r="B6" s="24" t="s">
        <v>1</v>
      </c>
      <c r="C6" s="25" t="s">
        <v>2</v>
      </c>
      <c r="D6" s="26" t="s">
        <v>306</v>
      </c>
      <c r="E6" s="27" t="s">
        <v>290</v>
      </c>
      <c r="F6" s="27" t="s">
        <v>5</v>
      </c>
      <c r="G6" s="26" t="s">
        <v>4</v>
      </c>
      <c r="H6" s="27" t="s">
        <v>290</v>
      </c>
      <c r="I6" s="28" t="s">
        <v>5</v>
      </c>
      <c r="J6" s="26" t="s">
        <v>3</v>
      </c>
      <c r="K6" s="26" t="s">
        <v>292</v>
      </c>
      <c r="L6" s="29" t="s">
        <v>293</v>
      </c>
      <c r="M6" s="30" t="s">
        <v>295</v>
      </c>
    </row>
    <row r="7" spans="1:13" ht="21.75" customHeight="1">
      <c r="A7" s="31"/>
      <c r="B7" s="32"/>
      <c r="C7" s="33" t="s">
        <v>288</v>
      </c>
      <c r="D7" s="34" t="s">
        <v>290</v>
      </c>
      <c r="E7" s="31"/>
      <c r="F7" s="31"/>
      <c r="G7" s="34"/>
      <c r="H7" s="31"/>
      <c r="I7" s="35"/>
      <c r="J7" s="34"/>
      <c r="K7" s="36" t="s">
        <v>290</v>
      </c>
      <c r="L7" s="37" t="s">
        <v>294</v>
      </c>
      <c r="M7" s="38"/>
    </row>
    <row r="8" spans="1:13">
      <c r="A8" s="39">
        <v>1</v>
      </c>
      <c r="B8" s="154" t="s">
        <v>538</v>
      </c>
      <c r="C8" s="235" t="s">
        <v>42</v>
      </c>
      <c r="D8" s="165" t="s">
        <v>539</v>
      </c>
      <c r="E8" s="213" t="s">
        <v>540</v>
      </c>
      <c r="F8" s="214">
        <v>8</v>
      </c>
      <c r="G8" s="43" t="s">
        <v>541</v>
      </c>
      <c r="H8" s="213" t="s">
        <v>540</v>
      </c>
      <c r="I8" s="44" t="s">
        <v>305</v>
      </c>
      <c r="J8" s="45">
        <f>41930*12</f>
        <v>503160</v>
      </c>
      <c r="K8" s="45">
        <f>5600*12</f>
        <v>67200</v>
      </c>
      <c r="L8" s="45">
        <f>5600*12</f>
        <v>67200</v>
      </c>
      <c r="M8" s="45">
        <f>SUM(J8:L8)</f>
        <v>637560</v>
      </c>
    </row>
    <row r="9" spans="1:13">
      <c r="A9" s="46"/>
      <c r="B9" s="47"/>
      <c r="C9" s="74"/>
      <c r="D9" s="96"/>
      <c r="E9" s="96" t="s">
        <v>17</v>
      </c>
      <c r="F9" s="96"/>
      <c r="G9" s="49"/>
      <c r="H9" s="96" t="s">
        <v>17</v>
      </c>
      <c r="I9" s="49"/>
      <c r="J9" s="48"/>
      <c r="K9" s="48"/>
      <c r="L9" s="48"/>
      <c r="M9" s="48"/>
    </row>
    <row r="10" spans="1:13">
      <c r="A10" s="46"/>
      <c r="B10" s="208" t="s">
        <v>544</v>
      </c>
      <c r="C10" s="209"/>
      <c r="D10" s="96"/>
      <c r="E10" s="96"/>
      <c r="F10" s="96"/>
      <c r="G10" s="49"/>
      <c r="H10" s="96"/>
      <c r="I10" s="49"/>
      <c r="J10" s="48"/>
      <c r="K10" s="48"/>
      <c r="L10" s="48"/>
      <c r="M10" s="48"/>
    </row>
    <row r="11" spans="1:13">
      <c r="A11" s="46">
        <v>2</v>
      </c>
      <c r="B11" s="47" t="s">
        <v>542</v>
      </c>
      <c r="C11" s="46" t="s">
        <v>543</v>
      </c>
      <c r="D11" s="52" t="s">
        <v>546</v>
      </c>
      <c r="E11" s="46" t="s">
        <v>545</v>
      </c>
      <c r="F11" s="46">
        <v>7</v>
      </c>
      <c r="G11" s="49" t="s">
        <v>547</v>
      </c>
      <c r="H11" s="46" t="s">
        <v>545</v>
      </c>
      <c r="I11" s="50" t="s">
        <v>300</v>
      </c>
      <c r="J11" s="53">
        <f>31880*12</f>
        <v>382560</v>
      </c>
      <c r="K11" s="48">
        <f>1500*9</f>
        <v>13500</v>
      </c>
      <c r="L11" s="48" t="s">
        <v>12</v>
      </c>
      <c r="M11" s="48">
        <f>SUM(J11:L11)</f>
        <v>396060</v>
      </c>
    </row>
    <row r="12" spans="1:13">
      <c r="A12" s="46"/>
      <c r="B12" s="47"/>
      <c r="C12" s="46"/>
      <c r="D12" s="52"/>
      <c r="E12" s="46" t="s">
        <v>17</v>
      </c>
      <c r="F12" s="46"/>
      <c r="G12" s="49"/>
      <c r="H12" s="46" t="s">
        <v>17</v>
      </c>
      <c r="I12" s="49"/>
      <c r="J12" s="48"/>
      <c r="K12" s="48"/>
      <c r="L12" s="48"/>
      <c r="M12" s="48"/>
    </row>
    <row r="13" spans="1:13">
      <c r="A13" s="46"/>
      <c r="B13" s="193" t="s">
        <v>548</v>
      </c>
      <c r="C13" s="194"/>
      <c r="D13" s="52"/>
      <c r="E13" s="54"/>
      <c r="F13" s="46"/>
      <c r="G13" s="49"/>
      <c r="H13" s="54"/>
      <c r="I13" s="50"/>
      <c r="J13" s="48"/>
      <c r="K13" s="48"/>
      <c r="L13" s="48"/>
      <c r="M13" s="48"/>
    </row>
    <row r="14" spans="1:13">
      <c r="A14" s="46">
        <v>3</v>
      </c>
      <c r="B14" s="47" t="s">
        <v>549</v>
      </c>
      <c r="C14" s="46" t="s">
        <v>36</v>
      </c>
      <c r="D14" s="52" t="s">
        <v>550</v>
      </c>
      <c r="E14" s="46" t="s">
        <v>634</v>
      </c>
      <c r="F14" s="46">
        <v>5</v>
      </c>
      <c r="G14" s="49" t="s">
        <v>552</v>
      </c>
      <c r="H14" s="50" t="s">
        <v>553</v>
      </c>
      <c r="I14" s="49" t="s">
        <v>319</v>
      </c>
      <c r="J14" s="48">
        <f>18230*12</f>
        <v>218760</v>
      </c>
      <c r="K14" s="48" t="s">
        <v>12</v>
      </c>
      <c r="L14" s="48" t="s">
        <v>12</v>
      </c>
      <c r="M14" s="48"/>
    </row>
    <row r="15" spans="1:13">
      <c r="A15" s="46">
        <v>4</v>
      </c>
      <c r="B15" s="47" t="s">
        <v>554</v>
      </c>
      <c r="C15" s="46" t="s">
        <v>626</v>
      </c>
      <c r="D15" s="52" t="s">
        <v>12</v>
      </c>
      <c r="E15" s="46" t="s">
        <v>555</v>
      </c>
      <c r="F15" s="46" t="s">
        <v>12</v>
      </c>
      <c r="G15" s="49" t="s">
        <v>12</v>
      </c>
      <c r="H15" s="46" t="s">
        <v>555</v>
      </c>
      <c r="I15" s="49" t="s">
        <v>12</v>
      </c>
      <c r="J15" s="48">
        <f>17200*12</f>
        <v>206400</v>
      </c>
      <c r="K15" s="48" t="s">
        <v>12</v>
      </c>
      <c r="L15" s="48" t="s">
        <v>12</v>
      </c>
      <c r="M15" s="48"/>
    </row>
    <row r="16" spans="1:13">
      <c r="A16" s="46"/>
      <c r="B16" s="193" t="s">
        <v>556</v>
      </c>
      <c r="C16" s="194"/>
      <c r="D16" s="52"/>
      <c r="E16" s="46"/>
      <c r="F16" s="46"/>
      <c r="G16" s="49"/>
      <c r="H16" s="50"/>
      <c r="I16" s="49"/>
      <c r="J16" s="48"/>
      <c r="K16" s="48"/>
      <c r="L16" s="48"/>
      <c r="M16" s="48"/>
    </row>
    <row r="17" spans="1:13">
      <c r="A17" s="46">
        <v>5</v>
      </c>
      <c r="B17" s="236" t="s">
        <v>557</v>
      </c>
      <c r="C17" s="237" t="s">
        <v>6</v>
      </c>
      <c r="D17" s="52" t="s">
        <v>558</v>
      </c>
      <c r="E17" s="238" t="s">
        <v>559</v>
      </c>
      <c r="F17" s="46" t="s">
        <v>312</v>
      </c>
      <c r="G17" s="49" t="s">
        <v>560</v>
      </c>
      <c r="H17" s="238" t="s">
        <v>658</v>
      </c>
      <c r="I17" s="49" t="s">
        <v>316</v>
      </c>
      <c r="J17" s="48">
        <f>26580*12</f>
        <v>318960</v>
      </c>
      <c r="K17" s="48" t="s">
        <v>12</v>
      </c>
      <c r="L17" s="48" t="s">
        <v>12</v>
      </c>
      <c r="M17" s="48"/>
    </row>
    <row r="18" spans="1:13">
      <c r="A18" s="46">
        <v>6</v>
      </c>
      <c r="B18" s="239" t="s">
        <v>561</v>
      </c>
      <c r="C18" s="240" t="s">
        <v>36</v>
      </c>
      <c r="D18" s="241" t="s">
        <v>12</v>
      </c>
      <c r="E18" s="242" t="s">
        <v>562</v>
      </c>
      <c r="F18" s="46" t="s">
        <v>12</v>
      </c>
      <c r="G18" s="49" t="s">
        <v>12</v>
      </c>
      <c r="H18" s="46" t="s">
        <v>555</v>
      </c>
      <c r="I18" s="49" t="s">
        <v>12</v>
      </c>
      <c r="J18" s="48">
        <f>17500*12</f>
        <v>210000</v>
      </c>
      <c r="K18" s="48" t="s">
        <v>12</v>
      </c>
      <c r="L18" s="48" t="s">
        <v>12</v>
      </c>
      <c r="M18" s="48"/>
    </row>
    <row r="19" spans="1:13">
      <c r="A19" s="46"/>
      <c r="B19" s="243" t="s">
        <v>563</v>
      </c>
      <c r="C19" s="244"/>
      <c r="D19" s="96"/>
      <c r="E19" s="46"/>
      <c r="F19" s="46"/>
      <c r="G19" s="49"/>
      <c r="H19" s="46"/>
      <c r="I19" s="49"/>
      <c r="J19" s="48"/>
      <c r="K19" s="48"/>
      <c r="L19" s="48"/>
      <c r="M19" s="48"/>
    </row>
    <row r="20" spans="1:13">
      <c r="A20" s="46">
        <v>7</v>
      </c>
      <c r="B20" s="245" t="s">
        <v>12</v>
      </c>
      <c r="C20" s="246" t="s">
        <v>12</v>
      </c>
      <c r="D20" s="52" t="s">
        <v>564</v>
      </c>
      <c r="E20" s="96" t="s">
        <v>565</v>
      </c>
      <c r="F20" s="46">
        <v>7</v>
      </c>
      <c r="G20" s="49" t="s">
        <v>551</v>
      </c>
      <c r="H20" s="96" t="s">
        <v>565</v>
      </c>
      <c r="I20" s="49" t="s">
        <v>300</v>
      </c>
      <c r="J20" s="48" t="s">
        <v>12</v>
      </c>
      <c r="K20" s="48" t="s">
        <v>12</v>
      </c>
      <c r="L20" s="48" t="s">
        <v>12</v>
      </c>
      <c r="M20" s="48" t="s">
        <v>307</v>
      </c>
    </row>
    <row r="21" spans="1:13">
      <c r="A21" s="46"/>
      <c r="B21" s="95"/>
      <c r="C21" s="74"/>
      <c r="D21" s="96"/>
      <c r="E21" s="96" t="s">
        <v>17</v>
      </c>
      <c r="F21" s="46"/>
      <c r="G21" s="46"/>
      <c r="H21" s="96" t="s">
        <v>17</v>
      </c>
      <c r="I21" s="49"/>
      <c r="J21" s="48"/>
      <c r="K21" s="48"/>
      <c r="L21" s="48"/>
      <c r="M21" s="48"/>
    </row>
    <row r="22" spans="1:13">
      <c r="A22" s="46"/>
      <c r="B22" s="227" t="s">
        <v>566</v>
      </c>
      <c r="C22" s="74"/>
      <c r="D22" s="96"/>
      <c r="E22" s="96"/>
      <c r="F22" s="46"/>
      <c r="G22" s="46"/>
      <c r="H22" s="96"/>
      <c r="I22" s="49"/>
      <c r="J22" s="48"/>
      <c r="K22" s="48"/>
      <c r="L22" s="48"/>
      <c r="M22" s="48"/>
    </row>
    <row r="23" spans="1:13">
      <c r="A23" s="65">
        <v>8</v>
      </c>
      <c r="B23" s="161" t="s">
        <v>567</v>
      </c>
      <c r="C23" s="67" t="s">
        <v>36</v>
      </c>
      <c r="D23" s="247" t="s">
        <v>568</v>
      </c>
      <c r="E23" s="162" t="s">
        <v>402</v>
      </c>
      <c r="F23" s="248">
        <v>5</v>
      </c>
      <c r="G23" s="68" t="s">
        <v>570</v>
      </c>
      <c r="H23" s="162" t="s">
        <v>402</v>
      </c>
      <c r="I23" s="68" t="s">
        <v>319</v>
      </c>
      <c r="J23" s="69">
        <f>18230*12</f>
        <v>218760</v>
      </c>
      <c r="K23" s="69" t="s">
        <v>12</v>
      </c>
      <c r="L23" s="69" t="s">
        <v>12</v>
      </c>
      <c r="M23" s="69"/>
    </row>
    <row r="24" spans="1:13">
      <c r="A24" s="41"/>
      <c r="B24" s="249" t="s">
        <v>571</v>
      </c>
      <c r="C24" s="250"/>
      <c r="D24" s="165"/>
      <c r="E24" s="251"/>
      <c r="F24" s="165"/>
      <c r="G24" s="165"/>
      <c r="H24" s="251"/>
      <c r="I24" s="43"/>
      <c r="J24" s="45"/>
      <c r="K24" s="45"/>
      <c r="L24" s="45"/>
      <c r="M24" s="45"/>
    </row>
    <row r="25" spans="1:13">
      <c r="A25" s="46">
        <v>9</v>
      </c>
      <c r="B25" s="159" t="s">
        <v>572</v>
      </c>
      <c r="C25" s="62" t="s">
        <v>33</v>
      </c>
      <c r="D25" s="52" t="s">
        <v>573</v>
      </c>
      <c r="E25" s="46" t="s">
        <v>634</v>
      </c>
      <c r="F25" s="46">
        <v>5</v>
      </c>
      <c r="G25" s="49" t="s">
        <v>574</v>
      </c>
      <c r="H25" s="50" t="s">
        <v>553</v>
      </c>
      <c r="I25" s="49" t="s">
        <v>319</v>
      </c>
      <c r="J25" s="48">
        <f>17550*12</f>
        <v>210600</v>
      </c>
      <c r="K25" s="48" t="s">
        <v>12</v>
      </c>
      <c r="L25" s="48" t="s">
        <v>12</v>
      </c>
      <c r="M25" s="48"/>
    </row>
    <row r="26" spans="1:13">
      <c r="A26" s="46">
        <v>10</v>
      </c>
      <c r="B26" s="159" t="s">
        <v>575</v>
      </c>
      <c r="C26" s="62" t="s">
        <v>635</v>
      </c>
      <c r="D26" s="170" t="s">
        <v>12</v>
      </c>
      <c r="E26" s="170" t="s">
        <v>576</v>
      </c>
      <c r="F26" s="170" t="s">
        <v>12</v>
      </c>
      <c r="G26" s="170" t="s">
        <v>12</v>
      </c>
      <c r="H26" s="170" t="s">
        <v>576</v>
      </c>
      <c r="I26" s="49" t="s">
        <v>12</v>
      </c>
      <c r="J26" s="48">
        <f>19220*12</f>
        <v>230640</v>
      </c>
      <c r="K26" s="48" t="s">
        <v>12</v>
      </c>
      <c r="L26" s="48" t="s">
        <v>12</v>
      </c>
      <c r="M26" s="48"/>
    </row>
    <row r="27" spans="1:13">
      <c r="A27" s="46"/>
      <c r="B27" s="252" t="s">
        <v>32</v>
      </c>
      <c r="C27" s="62"/>
      <c r="D27" s="170"/>
      <c r="E27" s="170"/>
      <c r="F27" s="170"/>
      <c r="G27" s="170"/>
      <c r="H27" s="170"/>
      <c r="I27" s="49"/>
      <c r="J27" s="48"/>
      <c r="K27" s="48"/>
      <c r="L27" s="48"/>
      <c r="M27" s="48"/>
    </row>
    <row r="28" spans="1:13">
      <c r="A28" s="46">
        <v>11</v>
      </c>
      <c r="B28" s="159" t="s">
        <v>577</v>
      </c>
      <c r="C28" s="62" t="s">
        <v>6</v>
      </c>
      <c r="D28" s="52" t="s">
        <v>578</v>
      </c>
      <c r="E28" s="170" t="s">
        <v>34</v>
      </c>
      <c r="F28" s="179">
        <v>6</v>
      </c>
      <c r="G28" s="49" t="s">
        <v>569</v>
      </c>
      <c r="H28" s="170" t="s">
        <v>34</v>
      </c>
      <c r="I28" s="49" t="s">
        <v>300</v>
      </c>
      <c r="J28" s="48">
        <f>26120*12</f>
        <v>313440</v>
      </c>
      <c r="K28" s="48">
        <f>1500*9</f>
        <v>13500</v>
      </c>
      <c r="L28" s="48" t="s">
        <v>12</v>
      </c>
      <c r="M28" s="48">
        <f>SUM(J28:L28)</f>
        <v>326940</v>
      </c>
    </row>
    <row r="29" spans="1:13">
      <c r="A29" s="46"/>
      <c r="B29" s="159"/>
      <c r="C29" s="62"/>
      <c r="D29" s="170"/>
      <c r="E29" s="170" t="s">
        <v>17</v>
      </c>
      <c r="F29" s="170"/>
      <c r="G29" s="170"/>
      <c r="H29" s="170" t="s">
        <v>17</v>
      </c>
      <c r="I29" s="49"/>
      <c r="J29" s="48"/>
      <c r="K29" s="48"/>
      <c r="L29" s="48"/>
      <c r="M29" s="48"/>
    </row>
    <row r="30" spans="1:13">
      <c r="A30" s="46"/>
      <c r="B30" s="227" t="s">
        <v>579</v>
      </c>
      <c r="C30" s="62"/>
      <c r="D30" s="170"/>
      <c r="E30" s="170"/>
      <c r="F30" s="170"/>
      <c r="G30" s="170"/>
      <c r="H30" s="170"/>
      <c r="I30" s="49"/>
      <c r="J30" s="48"/>
      <c r="K30" s="48"/>
      <c r="L30" s="48"/>
      <c r="M30" s="48"/>
    </row>
    <row r="31" spans="1:13">
      <c r="A31" s="46">
        <v>12</v>
      </c>
      <c r="B31" s="170" t="s">
        <v>12</v>
      </c>
      <c r="C31" s="62" t="s">
        <v>12</v>
      </c>
      <c r="D31" s="52" t="s">
        <v>580</v>
      </c>
      <c r="E31" s="253" t="s">
        <v>581</v>
      </c>
      <c r="F31" s="170" t="s">
        <v>471</v>
      </c>
      <c r="G31" s="49" t="s">
        <v>582</v>
      </c>
      <c r="H31" s="253" t="s">
        <v>581</v>
      </c>
      <c r="I31" s="49" t="s">
        <v>472</v>
      </c>
      <c r="J31" s="48" t="s">
        <v>12</v>
      </c>
      <c r="K31" s="48" t="s">
        <v>12</v>
      </c>
      <c r="L31" s="48" t="s">
        <v>12</v>
      </c>
      <c r="M31" s="48" t="s">
        <v>307</v>
      </c>
    </row>
    <row r="32" spans="1:13">
      <c r="A32" s="46"/>
      <c r="B32" s="227" t="s">
        <v>18</v>
      </c>
      <c r="C32" s="62"/>
      <c r="D32" s="170"/>
      <c r="E32" s="254"/>
      <c r="F32" s="170"/>
      <c r="G32" s="170"/>
      <c r="H32" s="254"/>
      <c r="I32" s="49"/>
      <c r="J32" s="48"/>
      <c r="K32" s="48"/>
      <c r="L32" s="48"/>
      <c r="M32" s="48"/>
    </row>
    <row r="33" spans="1:13">
      <c r="A33" s="46">
        <v>13</v>
      </c>
      <c r="B33" s="159" t="s">
        <v>583</v>
      </c>
      <c r="C33" s="62" t="s">
        <v>51</v>
      </c>
      <c r="D33" s="52" t="s">
        <v>584</v>
      </c>
      <c r="E33" s="254" t="s">
        <v>232</v>
      </c>
      <c r="F33" s="179">
        <v>6</v>
      </c>
      <c r="G33" s="49" t="s">
        <v>585</v>
      </c>
      <c r="H33" s="254" t="s">
        <v>232</v>
      </c>
      <c r="I33" s="49" t="s">
        <v>335</v>
      </c>
      <c r="J33" s="48">
        <f>25660*12</f>
        <v>307920</v>
      </c>
      <c r="K33" s="48" t="s">
        <v>12</v>
      </c>
      <c r="L33" s="48" t="s">
        <v>12</v>
      </c>
      <c r="M33" s="48"/>
    </row>
    <row r="34" spans="1:13">
      <c r="A34" s="65">
        <v>14</v>
      </c>
      <c r="B34" s="255" t="s">
        <v>586</v>
      </c>
      <c r="C34" s="67" t="s">
        <v>51</v>
      </c>
      <c r="D34" s="162" t="s">
        <v>12</v>
      </c>
      <c r="E34" s="256" t="s">
        <v>215</v>
      </c>
      <c r="F34" s="162" t="s">
        <v>12</v>
      </c>
      <c r="G34" s="162" t="s">
        <v>12</v>
      </c>
      <c r="H34" s="256" t="s">
        <v>215</v>
      </c>
      <c r="I34" s="68" t="s">
        <v>12</v>
      </c>
      <c r="J34" s="69">
        <f>13200*12</f>
        <v>158400</v>
      </c>
      <c r="K34" s="69" t="s">
        <v>12</v>
      </c>
      <c r="L34" s="69">
        <f>85*12</f>
        <v>1020</v>
      </c>
      <c r="M34" s="69">
        <f>J34+L34</f>
        <v>159420</v>
      </c>
    </row>
  </sheetData>
  <mergeCells count="12">
    <mergeCell ref="A1:M1"/>
    <mergeCell ref="A2:M2"/>
    <mergeCell ref="A3:M3"/>
    <mergeCell ref="A4:M4"/>
    <mergeCell ref="D5:F5"/>
    <mergeCell ref="G5:I5"/>
    <mergeCell ref="J5:L5"/>
    <mergeCell ref="B10:C10"/>
    <mergeCell ref="B19:C19"/>
    <mergeCell ref="B13:C13"/>
    <mergeCell ref="B16:C16"/>
    <mergeCell ref="B24:C24"/>
  </mergeCells>
  <pageMargins left="0.15748031496062992" right="0.15748031496062992" top="0.21" bottom="0.23622047244094491" header="0.17" footer="0.1574803149606299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15"/>
  <sheetViews>
    <sheetView view="pageBreakPreview" topLeftCell="A76" zoomScale="91" zoomScaleNormal="106" zoomScaleSheetLayoutView="91" workbookViewId="0">
      <selection activeCell="E13" sqref="E13"/>
    </sheetView>
  </sheetViews>
  <sheetFormatPr defaultRowHeight="20.25"/>
  <cols>
    <col min="1" max="1" width="3.5" style="6" customWidth="1"/>
    <col min="2" max="2" width="16.625" style="12" customWidth="1"/>
    <col min="3" max="3" width="7" style="6" customWidth="1"/>
    <col min="4" max="4" width="9.5" style="13" customWidth="1"/>
    <col min="5" max="5" width="18.125" style="6" customWidth="1"/>
    <col min="6" max="6" width="4.625" style="6" customWidth="1"/>
    <col min="7" max="7" width="15.375" style="6" customWidth="1"/>
    <col min="8" max="8" width="18.625" style="6" customWidth="1"/>
    <col min="9" max="9" width="6" style="11" customWidth="1"/>
    <col min="10" max="10" width="8.125" style="13" customWidth="1"/>
    <col min="11" max="12" width="9" style="13"/>
    <col min="13" max="13" width="8.375" style="19" customWidth="1"/>
    <col min="14" max="16384" width="9" style="6"/>
  </cols>
  <sheetData>
    <row r="1" spans="1:13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24">
      <c r="A2" s="195" t="s">
        <v>287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24">
      <c r="A3" s="196" t="s">
        <v>233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4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21.75" customHeight="1">
      <c r="A5" s="153"/>
      <c r="B5" s="21"/>
      <c r="C5" s="22"/>
      <c r="D5" s="190" t="s">
        <v>289</v>
      </c>
      <c r="E5" s="191"/>
      <c r="F5" s="192"/>
      <c r="G5" s="190" t="s">
        <v>637</v>
      </c>
      <c r="H5" s="191"/>
      <c r="I5" s="192"/>
      <c r="J5" s="190" t="s">
        <v>3</v>
      </c>
      <c r="K5" s="191"/>
      <c r="L5" s="192"/>
      <c r="M5" s="257"/>
    </row>
    <row r="6" spans="1:13" ht="20.25" customHeight="1">
      <c r="A6" s="24" t="s">
        <v>73</v>
      </c>
      <c r="B6" s="24" t="s">
        <v>1</v>
      </c>
      <c r="C6" s="25" t="s">
        <v>2</v>
      </c>
      <c r="D6" s="26" t="s">
        <v>306</v>
      </c>
      <c r="E6" s="27" t="s">
        <v>290</v>
      </c>
      <c r="F6" s="27" t="s">
        <v>5</v>
      </c>
      <c r="G6" s="26" t="s">
        <v>4</v>
      </c>
      <c r="H6" s="27" t="s">
        <v>290</v>
      </c>
      <c r="I6" s="28" t="s">
        <v>5</v>
      </c>
      <c r="J6" s="26" t="s">
        <v>3</v>
      </c>
      <c r="K6" s="26" t="s">
        <v>292</v>
      </c>
      <c r="L6" s="29" t="s">
        <v>293</v>
      </c>
      <c r="M6" s="258" t="s">
        <v>295</v>
      </c>
    </row>
    <row r="7" spans="1:13" ht="21.75" customHeight="1">
      <c r="A7" s="31"/>
      <c r="B7" s="259"/>
      <c r="C7" s="33" t="s">
        <v>288</v>
      </c>
      <c r="D7" s="34" t="s">
        <v>290</v>
      </c>
      <c r="E7" s="31"/>
      <c r="F7" s="31"/>
      <c r="G7" s="34"/>
      <c r="H7" s="31"/>
      <c r="I7" s="35"/>
      <c r="J7" s="34"/>
      <c r="K7" s="36" t="s">
        <v>290</v>
      </c>
      <c r="L7" s="37" t="s">
        <v>294</v>
      </c>
      <c r="M7" s="260"/>
    </row>
    <row r="8" spans="1:13" ht="24">
      <c r="A8" s="39">
        <v>1</v>
      </c>
      <c r="B8" s="154" t="s">
        <v>234</v>
      </c>
      <c r="C8" s="103" t="s">
        <v>244</v>
      </c>
      <c r="D8" s="261" t="s">
        <v>487</v>
      </c>
      <c r="E8" s="213" t="s">
        <v>488</v>
      </c>
      <c r="F8" s="214">
        <v>8</v>
      </c>
      <c r="G8" s="43" t="s">
        <v>489</v>
      </c>
      <c r="H8" s="213" t="s">
        <v>488</v>
      </c>
      <c r="I8" s="44" t="s">
        <v>305</v>
      </c>
      <c r="J8" s="45">
        <f>54960*12</f>
        <v>659520</v>
      </c>
      <c r="K8" s="45">
        <f>5600*12</f>
        <v>67200</v>
      </c>
      <c r="L8" s="45">
        <f>5600*12</f>
        <v>67200</v>
      </c>
      <c r="M8" s="215">
        <f>SUM(J8:L8)</f>
        <v>793920</v>
      </c>
    </row>
    <row r="9" spans="1:13" ht="24">
      <c r="A9" s="46"/>
      <c r="B9" s="47"/>
      <c r="C9" s="96"/>
      <c r="D9" s="74"/>
      <c r="E9" s="96" t="s">
        <v>279</v>
      </c>
      <c r="F9" s="96"/>
      <c r="G9" s="49"/>
      <c r="H9" s="96" t="s">
        <v>490</v>
      </c>
      <c r="I9" s="49"/>
      <c r="J9" s="48"/>
      <c r="K9" s="48"/>
      <c r="L9" s="48"/>
      <c r="M9" s="216"/>
    </row>
    <row r="10" spans="1:13" ht="24">
      <c r="A10" s="46"/>
      <c r="B10" s="57" t="s">
        <v>238</v>
      </c>
      <c r="C10" s="46"/>
      <c r="D10" s="52"/>
      <c r="E10" s="46"/>
      <c r="F10" s="46"/>
      <c r="G10" s="49"/>
      <c r="H10" s="50"/>
      <c r="I10" s="50"/>
      <c r="J10" s="53"/>
      <c r="K10" s="48"/>
      <c r="L10" s="48"/>
      <c r="M10" s="216"/>
    </row>
    <row r="11" spans="1:13" ht="24">
      <c r="A11" s="46">
        <v>2</v>
      </c>
      <c r="B11" s="46" t="s">
        <v>12</v>
      </c>
      <c r="C11" s="46" t="s">
        <v>12</v>
      </c>
      <c r="D11" s="52" t="s">
        <v>491</v>
      </c>
      <c r="E11" s="46" t="s">
        <v>280</v>
      </c>
      <c r="F11" s="46">
        <v>7</v>
      </c>
      <c r="G11" s="49" t="s">
        <v>493</v>
      </c>
      <c r="H11" s="46" t="s">
        <v>280</v>
      </c>
      <c r="I11" s="49" t="s">
        <v>300</v>
      </c>
      <c r="J11" s="48" t="s">
        <v>12</v>
      </c>
      <c r="K11" s="48" t="s">
        <v>12</v>
      </c>
      <c r="L11" s="48" t="s">
        <v>12</v>
      </c>
      <c r="M11" s="216" t="s">
        <v>307</v>
      </c>
    </row>
    <row r="12" spans="1:13" ht="24">
      <c r="A12" s="46"/>
      <c r="B12" s="47"/>
      <c r="C12" s="46"/>
      <c r="D12" s="52"/>
      <c r="E12" s="54" t="s">
        <v>279</v>
      </c>
      <c r="F12" s="46"/>
      <c r="G12" s="49"/>
      <c r="H12" s="54" t="s">
        <v>490</v>
      </c>
      <c r="I12" s="50"/>
      <c r="J12" s="48"/>
      <c r="K12" s="48"/>
      <c r="L12" s="48"/>
      <c r="M12" s="216"/>
    </row>
    <row r="13" spans="1:13" ht="24">
      <c r="A13" s="46"/>
      <c r="B13" s="59" t="s">
        <v>239</v>
      </c>
      <c r="C13" s="46"/>
      <c r="D13" s="52"/>
      <c r="E13" s="46"/>
      <c r="F13" s="46"/>
      <c r="G13" s="49"/>
      <c r="H13" s="50"/>
      <c r="I13" s="49"/>
      <c r="J13" s="48"/>
      <c r="K13" s="48"/>
      <c r="L13" s="48"/>
      <c r="M13" s="216"/>
    </row>
    <row r="14" spans="1:13" ht="24">
      <c r="A14" s="46">
        <v>3</v>
      </c>
      <c r="B14" s="46" t="s">
        <v>12</v>
      </c>
      <c r="C14" s="46" t="s">
        <v>12</v>
      </c>
      <c r="D14" s="52" t="s">
        <v>12</v>
      </c>
      <c r="E14" s="46" t="s">
        <v>26</v>
      </c>
      <c r="F14" s="46" t="s">
        <v>12</v>
      </c>
      <c r="G14" s="49" t="s">
        <v>12</v>
      </c>
      <c r="H14" s="50" t="s">
        <v>26</v>
      </c>
      <c r="I14" s="49" t="s">
        <v>12</v>
      </c>
      <c r="J14" s="48" t="s">
        <v>12</v>
      </c>
      <c r="K14" s="48" t="s">
        <v>12</v>
      </c>
      <c r="L14" s="48" t="s">
        <v>12</v>
      </c>
      <c r="M14" s="216" t="s">
        <v>307</v>
      </c>
    </row>
    <row r="15" spans="1:13" ht="24">
      <c r="A15" s="46"/>
      <c r="B15" s="59" t="s">
        <v>77</v>
      </c>
      <c r="C15" s="46"/>
      <c r="D15" s="52"/>
      <c r="E15" s="46"/>
      <c r="F15" s="46"/>
      <c r="G15" s="49"/>
      <c r="H15" s="50"/>
      <c r="I15" s="49"/>
      <c r="J15" s="48"/>
      <c r="K15" s="48"/>
      <c r="L15" s="48"/>
      <c r="M15" s="216"/>
    </row>
    <row r="16" spans="1:13" ht="24">
      <c r="A16" s="46">
        <v>4</v>
      </c>
      <c r="B16" s="236" t="s">
        <v>657</v>
      </c>
      <c r="C16" s="238" t="s">
        <v>51</v>
      </c>
      <c r="D16" s="237" t="s">
        <v>240</v>
      </c>
      <c r="E16" s="238" t="s">
        <v>281</v>
      </c>
      <c r="F16" s="46" t="s">
        <v>12</v>
      </c>
      <c r="G16" s="49" t="s">
        <v>12</v>
      </c>
      <c r="H16" s="238" t="s">
        <v>281</v>
      </c>
      <c r="I16" s="49" t="s">
        <v>12</v>
      </c>
      <c r="J16" s="48">
        <f>10860*12</f>
        <v>130320</v>
      </c>
      <c r="K16" s="48" t="s">
        <v>12</v>
      </c>
      <c r="L16" s="48">
        <f>2000*12</f>
        <v>24000</v>
      </c>
      <c r="M16" s="216">
        <f>J16+L16</f>
        <v>154320</v>
      </c>
    </row>
    <row r="17" spans="1:13" ht="24">
      <c r="A17" s="46">
        <v>5</v>
      </c>
      <c r="B17" s="236" t="s">
        <v>656</v>
      </c>
      <c r="C17" s="238" t="s">
        <v>36</v>
      </c>
      <c r="D17" s="237" t="s">
        <v>241</v>
      </c>
      <c r="E17" s="238" t="s">
        <v>281</v>
      </c>
      <c r="F17" s="46" t="s">
        <v>12</v>
      </c>
      <c r="G17" s="49" t="s">
        <v>12</v>
      </c>
      <c r="H17" s="238" t="s">
        <v>281</v>
      </c>
      <c r="I17" s="49" t="s">
        <v>12</v>
      </c>
      <c r="J17" s="48">
        <f>11150*12</f>
        <v>133800</v>
      </c>
      <c r="K17" s="48" t="s">
        <v>12</v>
      </c>
      <c r="L17" s="48">
        <f>2000*12</f>
        <v>24000</v>
      </c>
      <c r="M17" s="216">
        <f>J17+L17</f>
        <v>157800</v>
      </c>
    </row>
    <row r="18" spans="1:13" ht="24">
      <c r="A18" s="46"/>
      <c r="B18" s="262" t="s">
        <v>242</v>
      </c>
      <c r="C18" s="263"/>
      <c r="D18" s="264"/>
      <c r="E18" s="46"/>
      <c r="F18" s="46"/>
      <c r="G18" s="49"/>
      <c r="H18" s="46"/>
      <c r="I18" s="49"/>
      <c r="J18" s="48"/>
      <c r="K18" s="48"/>
      <c r="L18" s="48"/>
      <c r="M18" s="216"/>
    </row>
    <row r="19" spans="1:13" ht="24">
      <c r="A19" s="46">
        <v>6</v>
      </c>
      <c r="B19" s="265" t="s">
        <v>243</v>
      </c>
      <c r="C19" s="96" t="s">
        <v>244</v>
      </c>
      <c r="D19" s="62" t="s">
        <v>494</v>
      </c>
      <c r="E19" s="96" t="s">
        <v>495</v>
      </c>
      <c r="F19" s="46">
        <v>7</v>
      </c>
      <c r="G19" s="49" t="s">
        <v>492</v>
      </c>
      <c r="H19" s="96" t="s">
        <v>495</v>
      </c>
      <c r="I19" s="49" t="s">
        <v>300</v>
      </c>
      <c r="J19" s="48">
        <f>37410*12</f>
        <v>448920</v>
      </c>
      <c r="K19" s="48">
        <f>1500*9</f>
        <v>13500</v>
      </c>
      <c r="L19" s="48" t="s">
        <v>12</v>
      </c>
      <c r="M19" s="216">
        <f>SUM(J19:L19)</f>
        <v>462420</v>
      </c>
    </row>
    <row r="20" spans="1:13" ht="24">
      <c r="A20" s="46"/>
      <c r="B20" s="95"/>
      <c r="C20" s="96"/>
      <c r="D20" s="74"/>
      <c r="E20" s="96" t="s">
        <v>279</v>
      </c>
      <c r="F20" s="46"/>
      <c r="G20" s="46"/>
      <c r="H20" s="96" t="s">
        <v>490</v>
      </c>
      <c r="I20" s="49"/>
      <c r="J20" s="48"/>
      <c r="K20" s="48"/>
      <c r="L20" s="48"/>
      <c r="M20" s="216"/>
    </row>
    <row r="21" spans="1:13" ht="24">
      <c r="A21" s="46"/>
      <c r="B21" s="227" t="s">
        <v>245</v>
      </c>
      <c r="C21" s="96"/>
      <c r="D21" s="74"/>
      <c r="E21" s="96"/>
      <c r="F21" s="46"/>
      <c r="G21" s="46"/>
      <c r="H21" s="96"/>
      <c r="I21" s="49"/>
      <c r="J21" s="48"/>
      <c r="K21" s="48"/>
      <c r="L21" s="48"/>
      <c r="M21" s="216"/>
    </row>
    <row r="22" spans="1:13" ht="24">
      <c r="A22" s="46">
        <v>7</v>
      </c>
      <c r="B22" s="159" t="s">
        <v>655</v>
      </c>
      <c r="C22" s="170" t="s">
        <v>22</v>
      </c>
      <c r="D22" s="62" t="s">
        <v>12</v>
      </c>
      <c r="E22" s="170" t="s">
        <v>282</v>
      </c>
      <c r="F22" s="170" t="s">
        <v>12</v>
      </c>
      <c r="G22" s="62" t="s">
        <v>12</v>
      </c>
      <c r="H22" s="170" t="s">
        <v>282</v>
      </c>
      <c r="I22" s="49" t="s">
        <v>12</v>
      </c>
      <c r="J22" s="48">
        <f>12140*12</f>
        <v>145680</v>
      </c>
      <c r="K22" s="48" t="s">
        <v>12</v>
      </c>
      <c r="L22" s="48">
        <f>1145*12</f>
        <v>13740</v>
      </c>
      <c r="M22" s="216">
        <f>J22+L22</f>
        <v>159420</v>
      </c>
    </row>
    <row r="23" spans="1:13" ht="24">
      <c r="A23" s="65">
        <v>8</v>
      </c>
      <c r="B23" s="161" t="s">
        <v>253</v>
      </c>
      <c r="C23" s="162" t="s">
        <v>263</v>
      </c>
      <c r="D23" s="67" t="s">
        <v>12</v>
      </c>
      <c r="E23" s="266" t="s">
        <v>282</v>
      </c>
      <c r="F23" s="162" t="s">
        <v>12</v>
      </c>
      <c r="G23" s="67" t="s">
        <v>12</v>
      </c>
      <c r="H23" s="266" t="s">
        <v>282</v>
      </c>
      <c r="I23" s="68" t="s">
        <v>12</v>
      </c>
      <c r="J23" s="69">
        <f>15000*12</f>
        <v>180000</v>
      </c>
      <c r="K23" s="69" t="s">
        <v>12</v>
      </c>
      <c r="L23" s="69" t="s">
        <v>12</v>
      </c>
      <c r="M23" s="220" t="s">
        <v>12</v>
      </c>
    </row>
    <row r="24" spans="1:13" ht="24">
      <c r="A24" s="41">
        <v>9</v>
      </c>
      <c r="B24" s="164" t="s">
        <v>246</v>
      </c>
      <c r="C24" s="165" t="s">
        <v>263</v>
      </c>
      <c r="D24" s="261" t="s">
        <v>12</v>
      </c>
      <c r="E24" s="165" t="s">
        <v>282</v>
      </c>
      <c r="F24" s="165" t="s">
        <v>12</v>
      </c>
      <c r="G24" s="261" t="s">
        <v>12</v>
      </c>
      <c r="H24" s="165" t="s">
        <v>282</v>
      </c>
      <c r="I24" s="43" t="s">
        <v>12</v>
      </c>
      <c r="J24" s="45">
        <f>17050*12</f>
        <v>204600</v>
      </c>
      <c r="K24" s="45" t="s">
        <v>12</v>
      </c>
      <c r="L24" s="45" t="s">
        <v>12</v>
      </c>
      <c r="M24" s="215" t="s">
        <v>12</v>
      </c>
    </row>
    <row r="25" spans="1:13" ht="24">
      <c r="A25" s="46">
        <v>10</v>
      </c>
      <c r="B25" s="159" t="s">
        <v>247</v>
      </c>
      <c r="C25" s="170" t="s">
        <v>263</v>
      </c>
      <c r="D25" s="62" t="s">
        <v>12</v>
      </c>
      <c r="E25" s="170" t="s">
        <v>282</v>
      </c>
      <c r="F25" s="170" t="s">
        <v>12</v>
      </c>
      <c r="G25" s="62" t="s">
        <v>12</v>
      </c>
      <c r="H25" s="170" t="s">
        <v>282</v>
      </c>
      <c r="I25" s="49" t="s">
        <v>12</v>
      </c>
      <c r="J25" s="48">
        <f>16880*12</f>
        <v>202560</v>
      </c>
      <c r="K25" s="48" t="s">
        <v>12</v>
      </c>
      <c r="L25" s="48" t="s">
        <v>12</v>
      </c>
      <c r="M25" s="216" t="s">
        <v>12</v>
      </c>
    </row>
    <row r="26" spans="1:13" ht="24">
      <c r="A26" s="46">
        <v>11</v>
      </c>
      <c r="B26" s="159" t="s">
        <v>248</v>
      </c>
      <c r="C26" s="170" t="s">
        <v>270</v>
      </c>
      <c r="D26" s="62" t="s">
        <v>12</v>
      </c>
      <c r="E26" s="170" t="s">
        <v>282</v>
      </c>
      <c r="F26" s="170" t="s">
        <v>12</v>
      </c>
      <c r="G26" s="62" t="s">
        <v>12</v>
      </c>
      <c r="H26" s="170" t="s">
        <v>282</v>
      </c>
      <c r="I26" s="49" t="s">
        <v>12</v>
      </c>
      <c r="J26" s="48">
        <f>17360*12</f>
        <v>208320</v>
      </c>
      <c r="K26" s="48" t="s">
        <v>12</v>
      </c>
      <c r="L26" s="48" t="s">
        <v>12</v>
      </c>
      <c r="M26" s="216" t="s">
        <v>12</v>
      </c>
    </row>
    <row r="27" spans="1:13" ht="24">
      <c r="A27" s="46">
        <v>12</v>
      </c>
      <c r="B27" s="159" t="s">
        <v>249</v>
      </c>
      <c r="C27" s="170" t="s">
        <v>631</v>
      </c>
      <c r="D27" s="62" t="s">
        <v>12</v>
      </c>
      <c r="E27" s="170" t="s">
        <v>282</v>
      </c>
      <c r="F27" s="170" t="s">
        <v>12</v>
      </c>
      <c r="G27" s="62" t="s">
        <v>12</v>
      </c>
      <c r="H27" s="170" t="s">
        <v>282</v>
      </c>
      <c r="I27" s="49" t="s">
        <v>12</v>
      </c>
      <c r="J27" s="48">
        <f>17040*12</f>
        <v>204480</v>
      </c>
      <c r="K27" s="48" t="s">
        <v>12</v>
      </c>
      <c r="L27" s="48" t="s">
        <v>12</v>
      </c>
      <c r="M27" s="216" t="s">
        <v>12</v>
      </c>
    </row>
    <row r="28" spans="1:13" ht="24">
      <c r="A28" s="46">
        <v>13</v>
      </c>
      <c r="B28" s="159" t="s">
        <v>654</v>
      </c>
      <c r="C28" s="170" t="s">
        <v>263</v>
      </c>
      <c r="D28" s="62" t="s">
        <v>12</v>
      </c>
      <c r="E28" s="170" t="s">
        <v>282</v>
      </c>
      <c r="F28" s="170" t="s">
        <v>12</v>
      </c>
      <c r="G28" s="62" t="s">
        <v>12</v>
      </c>
      <c r="H28" s="170" t="s">
        <v>282</v>
      </c>
      <c r="I28" s="49" t="s">
        <v>12</v>
      </c>
      <c r="J28" s="48">
        <f>17800*12</f>
        <v>213600</v>
      </c>
      <c r="K28" s="48" t="s">
        <v>12</v>
      </c>
      <c r="L28" s="48" t="s">
        <v>12</v>
      </c>
      <c r="M28" s="216" t="s">
        <v>12</v>
      </c>
    </row>
    <row r="29" spans="1:13" ht="24">
      <c r="A29" s="46">
        <v>14</v>
      </c>
      <c r="B29" s="159" t="s">
        <v>250</v>
      </c>
      <c r="C29" s="170" t="s">
        <v>263</v>
      </c>
      <c r="D29" s="62" t="s">
        <v>12</v>
      </c>
      <c r="E29" s="170" t="s">
        <v>282</v>
      </c>
      <c r="F29" s="170" t="s">
        <v>12</v>
      </c>
      <c r="G29" s="62" t="s">
        <v>12</v>
      </c>
      <c r="H29" s="170" t="s">
        <v>282</v>
      </c>
      <c r="I29" s="49" t="s">
        <v>12</v>
      </c>
      <c r="J29" s="48">
        <f>17630*12</f>
        <v>211560</v>
      </c>
      <c r="K29" s="48" t="s">
        <v>12</v>
      </c>
      <c r="L29" s="48" t="s">
        <v>12</v>
      </c>
      <c r="M29" s="216" t="s">
        <v>12</v>
      </c>
    </row>
    <row r="30" spans="1:13" ht="24">
      <c r="A30" s="46">
        <v>15</v>
      </c>
      <c r="B30" s="159" t="s">
        <v>251</v>
      </c>
      <c r="C30" s="170" t="s">
        <v>270</v>
      </c>
      <c r="D30" s="62" t="s">
        <v>12</v>
      </c>
      <c r="E30" s="253" t="s">
        <v>282</v>
      </c>
      <c r="F30" s="170" t="s">
        <v>12</v>
      </c>
      <c r="G30" s="62" t="s">
        <v>12</v>
      </c>
      <c r="H30" s="253" t="s">
        <v>282</v>
      </c>
      <c r="I30" s="49" t="s">
        <v>12</v>
      </c>
      <c r="J30" s="48">
        <f>17490*12</f>
        <v>209880</v>
      </c>
      <c r="K30" s="48" t="s">
        <v>12</v>
      </c>
      <c r="L30" s="48" t="s">
        <v>12</v>
      </c>
      <c r="M30" s="216" t="s">
        <v>12</v>
      </c>
    </row>
    <row r="31" spans="1:13" ht="24">
      <c r="A31" s="46">
        <v>16</v>
      </c>
      <c r="B31" s="159" t="s">
        <v>252</v>
      </c>
      <c r="C31" s="170" t="s">
        <v>270</v>
      </c>
      <c r="D31" s="62" t="s">
        <v>12</v>
      </c>
      <c r="E31" s="254" t="s">
        <v>282</v>
      </c>
      <c r="F31" s="170" t="s">
        <v>12</v>
      </c>
      <c r="G31" s="62" t="s">
        <v>12</v>
      </c>
      <c r="H31" s="254" t="s">
        <v>282</v>
      </c>
      <c r="I31" s="49" t="s">
        <v>12</v>
      </c>
      <c r="J31" s="48">
        <f>17530*12</f>
        <v>210360</v>
      </c>
      <c r="K31" s="48" t="s">
        <v>12</v>
      </c>
      <c r="L31" s="48" t="s">
        <v>12</v>
      </c>
      <c r="M31" s="216" t="s">
        <v>12</v>
      </c>
    </row>
    <row r="32" spans="1:13" ht="24">
      <c r="A32" s="46">
        <v>17</v>
      </c>
      <c r="B32" s="170" t="s">
        <v>12</v>
      </c>
      <c r="C32" s="170" t="s">
        <v>12</v>
      </c>
      <c r="D32" s="62" t="s">
        <v>12</v>
      </c>
      <c r="E32" s="254" t="s">
        <v>282</v>
      </c>
      <c r="F32" s="170" t="s">
        <v>12</v>
      </c>
      <c r="G32" s="62" t="s">
        <v>12</v>
      </c>
      <c r="H32" s="254" t="s">
        <v>282</v>
      </c>
      <c r="I32" s="49" t="s">
        <v>12</v>
      </c>
      <c r="J32" s="49" t="s">
        <v>12</v>
      </c>
      <c r="K32" s="49" t="s">
        <v>12</v>
      </c>
      <c r="L32" s="49" t="s">
        <v>12</v>
      </c>
      <c r="M32" s="216" t="s">
        <v>307</v>
      </c>
    </row>
    <row r="33" spans="1:13" ht="24">
      <c r="A33" s="46">
        <v>18</v>
      </c>
      <c r="B33" s="267" t="s">
        <v>653</v>
      </c>
      <c r="C33" s="170" t="s">
        <v>155</v>
      </c>
      <c r="D33" s="62" t="s">
        <v>12</v>
      </c>
      <c r="E33" s="242" t="s">
        <v>26</v>
      </c>
      <c r="F33" s="170" t="s">
        <v>12</v>
      </c>
      <c r="G33" s="62" t="s">
        <v>12</v>
      </c>
      <c r="H33" s="242" t="s">
        <v>26</v>
      </c>
      <c r="I33" s="49" t="s">
        <v>12</v>
      </c>
      <c r="J33" s="48">
        <f>9000*12</f>
        <v>108000</v>
      </c>
      <c r="K33" s="48" t="s">
        <v>12</v>
      </c>
      <c r="L33" s="48" t="s">
        <v>12</v>
      </c>
      <c r="M33" s="216" t="s">
        <v>12</v>
      </c>
    </row>
    <row r="34" spans="1:13" ht="24">
      <c r="A34" s="46">
        <v>19</v>
      </c>
      <c r="B34" s="267" t="s">
        <v>652</v>
      </c>
      <c r="C34" s="170" t="s">
        <v>155</v>
      </c>
      <c r="D34" s="62" t="s">
        <v>12</v>
      </c>
      <c r="E34" s="242" t="s">
        <v>26</v>
      </c>
      <c r="F34" s="170" t="s">
        <v>12</v>
      </c>
      <c r="G34" s="62" t="s">
        <v>12</v>
      </c>
      <c r="H34" s="242" t="s">
        <v>26</v>
      </c>
      <c r="I34" s="49" t="s">
        <v>12</v>
      </c>
      <c r="J34" s="48">
        <f t="shared" ref="J34:J38" si="0">9000*12</f>
        <v>108000</v>
      </c>
      <c r="K34" s="48" t="s">
        <v>12</v>
      </c>
      <c r="L34" s="48" t="s">
        <v>12</v>
      </c>
      <c r="M34" s="216" t="s">
        <v>12</v>
      </c>
    </row>
    <row r="35" spans="1:13" ht="24">
      <c r="A35" s="46">
        <v>20</v>
      </c>
      <c r="B35" s="267" t="s">
        <v>651</v>
      </c>
      <c r="C35" s="170" t="s">
        <v>155</v>
      </c>
      <c r="D35" s="62" t="s">
        <v>12</v>
      </c>
      <c r="E35" s="242" t="s">
        <v>26</v>
      </c>
      <c r="F35" s="170" t="s">
        <v>12</v>
      </c>
      <c r="G35" s="62" t="s">
        <v>12</v>
      </c>
      <c r="H35" s="242" t="s">
        <v>26</v>
      </c>
      <c r="I35" s="49" t="s">
        <v>12</v>
      </c>
      <c r="J35" s="48">
        <f t="shared" si="0"/>
        <v>108000</v>
      </c>
      <c r="K35" s="48" t="s">
        <v>12</v>
      </c>
      <c r="L35" s="48" t="s">
        <v>12</v>
      </c>
      <c r="M35" s="216" t="s">
        <v>12</v>
      </c>
    </row>
    <row r="36" spans="1:13" ht="24">
      <c r="A36" s="46">
        <v>21</v>
      </c>
      <c r="B36" s="159" t="s">
        <v>254</v>
      </c>
      <c r="C36" s="170" t="s">
        <v>155</v>
      </c>
      <c r="D36" s="62" t="s">
        <v>12</v>
      </c>
      <c r="E36" s="242" t="s">
        <v>26</v>
      </c>
      <c r="F36" s="170" t="s">
        <v>12</v>
      </c>
      <c r="G36" s="62" t="s">
        <v>12</v>
      </c>
      <c r="H36" s="242" t="s">
        <v>26</v>
      </c>
      <c r="I36" s="49" t="s">
        <v>12</v>
      </c>
      <c r="J36" s="48">
        <f t="shared" si="0"/>
        <v>108000</v>
      </c>
      <c r="K36" s="48" t="s">
        <v>12</v>
      </c>
      <c r="L36" s="48" t="s">
        <v>12</v>
      </c>
      <c r="M36" s="216" t="s">
        <v>12</v>
      </c>
    </row>
    <row r="37" spans="1:13" ht="24">
      <c r="A37" s="46">
        <v>22</v>
      </c>
      <c r="B37" s="159" t="s">
        <v>255</v>
      </c>
      <c r="C37" s="170" t="s">
        <v>155</v>
      </c>
      <c r="D37" s="62" t="s">
        <v>12</v>
      </c>
      <c r="E37" s="242" t="s">
        <v>26</v>
      </c>
      <c r="F37" s="170" t="s">
        <v>12</v>
      </c>
      <c r="G37" s="62" t="s">
        <v>12</v>
      </c>
      <c r="H37" s="242" t="s">
        <v>26</v>
      </c>
      <c r="I37" s="49" t="s">
        <v>12</v>
      </c>
      <c r="J37" s="48">
        <f t="shared" si="0"/>
        <v>108000</v>
      </c>
      <c r="K37" s="48" t="s">
        <v>12</v>
      </c>
      <c r="L37" s="48" t="s">
        <v>12</v>
      </c>
      <c r="M37" s="216" t="s">
        <v>12</v>
      </c>
    </row>
    <row r="38" spans="1:13" ht="24">
      <c r="A38" s="46">
        <v>23</v>
      </c>
      <c r="B38" s="159" t="s">
        <v>256</v>
      </c>
      <c r="C38" s="170" t="s">
        <v>24</v>
      </c>
      <c r="D38" s="62" t="s">
        <v>12</v>
      </c>
      <c r="E38" s="242" t="s">
        <v>26</v>
      </c>
      <c r="F38" s="170" t="s">
        <v>12</v>
      </c>
      <c r="G38" s="62" t="s">
        <v>12</v>
      </c>
      <c r="H38" s="242" t="s">
        <v>26</v>
      </c>
      <c r="I38" s="49" t="s">
        <v>12</v>
      </c>
      <c r="J38" s="48">
        <f t="shared" si="0"/>
        <v>108000</v>
      </c>
      <c r="K38" s="48" t="s">
        <v>12</v>
      </c>
      <c r="L38" s="48" t="s">
        <v>12</v>
      </c>
      <c r="M38" s="216" t="s">
        <v>12</v>
      </c>
    </row>
    <row r="39" spans="1:13" ht="24">
      <c r="A39" s="65">
        <v>24</v>
      </c>
      <c r="B39" s="268" t="s">
        <v>12</v>
      </c>
      <c r="C39" s="162" t="s">
        <v>12</v>
      </c>
      <c r="D39" s="67" t="s">
        <v>12</v>
      </c>
      <c r="E39" s="256" t="s">
        <v>26</v>
      </c>
      <c r="F39" s="162" t="s">
        <v>12</v>
      </c>
      <c r="G39" s="67" t="s">
        <v>12</v>
      </c>
      <c r="H39" s="256" t="s">
        <v>26</v>
      </c>
      <c r="I39" s="68" t="s">
        <v>12</v>
      </c>
      <c r="J39" s="68" t="s">
        <v>12</v>
      </c>
      <c r="K39" s="68" t="s">
        <v>12</v>
      </c>
      <c r="L39" s="68" t="s">
        <v>12</v>
      </c>
      <c r="M39" s="162" t="s">
        <v>307</v>
      </c>
    </row>
    <row r="40" spans="1:13" ht="24">
      <c r="A40" s="41"/>
      <c r="B40" s="249" t="s">
        <v>497</v>
      </c>
      <c r="C40" s="250"/>
      <c r="D40" s="261"/>
      <c r="E40" s="165"/>
      <c r="F40" s="41"/>
      <c r="G40" s="41"/>
      <c r="H40" s="165"/>
      <c r="I40" s="43"/>
      <c r="J40" s="45"/>
      <c r="K40" s="45"/>
      <c r="L40" s="45"/>
      <c r="M40" s="165"/>
    </row>
    <row r="41" spans="1:13" ht="24">
      <c r="A41" s="46"/>
      <c r="B41" s="227" t="s">
        <v>257</v>
      </c>
      <c r="C41" s="170"/>
      <c r="D41" s="62"/>
      <c r="E41" s="170"/>
      <c r="F41" s="46"/>
      <c r="G41" s="46"/>
      <c r="H41" s="170"/>
      <c r="I41" s="49"/>
      <c r="J41" s="48"/>
      <c r="K41" s="48"/>
      <c r="L41" s="48"/>
      <c r="M41" s="170"/>
    </row>
    <row r="42" spans="1:13" ht="24">
      <c r="A42" s="46">
        <v>25</v>
      </c>
      <c r="B42" s="170" t="s">
        <v>12</v>
      </c>
      <c r="C42" s="170" t="s">
        <v>12</v>
      </c>
      <c r="D42" s="62" t="s">
        <v>12</v>
      </c>
      <c r="E42" s="170" t="s">
        <v>26</v>
      </c>
      <c r="F42" s="46" t="s">
        <v>12</v>
      </c>
      <c r="G42" s="46" t="s">
        <v>12</v>
      </c>
      <c r="H42" s="170" t="s">
        <v>377</v>
      </c>
      <c r="I42" s="49" t="s">
        <v>12</v>
      </c>
      <c r="J42" s="48" t="s">
        <v>12</v>
      </c>
      <c r="K42" s="48" t="s">
        <v>12</v>
      </c>
      <c r="L42" s="48" t="s">
        <v>12</v>
      </c>
      <c r="M42" s="170" t="s">
        <v>307</v>
      </c>
    </row>
    <row r="43" spans="1:13" ht="24">
      <c r="A43" s="46"/>
      <c r="B43" s="269" t="s">
        <v>258</v>
      </c>
      <c r="C43" s="176"/>
      <c r="D43" s="270"/>
      <c r="E43" s="176"/>
      <c r="F43" s="46"/>
      <c r="G43" s="46"/>
      <c r="H43" s="176"/>
      <c r="I43" s="49"/>
      <c r="J43" s="48"/>
      <c r="K43" s="48"/>
      <c r="L43" s="48"/>
      <c r="M43" s="170"/>
    </row>
    <row r="44" spans="1:13" ht="24">
      <c r="A44" s="46">
        <v>26</v>
      </c>
      <c r="B44" s="170" t="s">
        <v>12</v>
      </c>
      <c r="C44" s="170" t="s">
        <v>12</v>
      </c>
      <c r="D44" s="62" t="s">
        <v>498</v>
      </c>
      <c r="E44" s="170" t="s">
        <v>636</v>
      </c>
      <c r="F44" s="46">
        <v>6</v>
      </c>
      <c r="G44" s="46" t="s">
        <v>496</v>
      </c>
      <c r="H44" s="170" t="s">
        <v>636</v>
      </c>
      <c r="I44" s="49" t="s">
        <v>300</v>
      </c>
      <c r="J44" s="48" t="s">
        <v>12</v>
      </c>
      <c r="K44" s="48" t="s">
        <v>12</v>
      </c>
      <c r="L44" s="48" t="s">
        <v>12</v>
      </c>
      <c r="M44" s="170" t="s">
        <v>307</v>
      </c>
    </row>
    <row r="45" spans="1:13" ht="24">
      <c r="A45" s="46"/>
      <c r="B45" s="159"/>
      <c r="C45" s="170"/>
      <c r="D45" s="62"/>
      <c r="E45" s="170" t="s">
        <v>279</v>
      </c>
      <c r="F45" s="46"/>
      <c r="G45" s="46"/>
      <c r="H45" s="170" t="s">
        <v>490</v>
      </c>
      <c r="I45" s="49"/>
      <c r="J45" s="48"/>
      <c r="K45" s="48"/>
      <c r="L45" s="48"/>
      <c r="M45" s="170"/>
    </row>
    <row r="46" spans="1:13" ht="24">
      <c r="A46" s="46"/>
      <c r="B46" s="178" t="s">
        <v>18</v>
      </c>
      <c r="C46" s="170"/>
      <c r="D46" s="62"/>
      <c r="E46" s="170"/>
      <c r="F46" s="46"/>
      <c r="G46" s="46"/>
      <c r="H46" s="170"/>
      <c r="I46" s="49"/>
      <c r="J46" s="48"/>
      <c r="K46" s="48"/>
      <c r="L46" s="48"/>
      <c r="M46" s="170"/>
    </row>
    <row r="47" spans="1:13" ht="24">
      <c r="A47" s="46">
        <v>27</v>
      </c>
      <c r="B47" s="236" t="s">
        <v>236</v>
      </c>
      <c r="C47" s="238" t="s">
        <v>24</v>
      </c>
      <c r="D47" s="237" t="s">
        <v>12</v>
      </c>
      <c r="E47" s="238" t="s">
        <v>26</v>
      </c>
      <c r="F47" s="46" t="s">
        <v>12</v>
      </c>
      <c r="G47" s="46" t="s">
        <v>12</v>
      </c>
      <c r="H47" s="238" t="s">
        <v>26</v>
      </c>
      <c r="I47" s="49" t="s">
        <v>12</v>
      </c>
      <c r="J47" s="48">
        <f>9000*12</f>
        <v>108000</v>
      </c>
      <c r="K47" s="48" t="s">
        <v>12</v>
      </c>
      <c r="L47" s="48">
        <f>1000*12</f>
        <v>12000</v>
      </c>
      <c r="M47" s="216">
        <f>J47+L47</f>
        <v>120000</v>
      </c>
    </row>
    <row r="48" spans="1:13" ht="24">
      <c r="A48" s="46">
        <v>28</v>
      </c>
      <c r="B48" s="236" t="s">
        <v>237</v>
      </c>
      <c r="C48" s="238" t="s">
        <v>19</v>
      </c>
      <c r="D48" s="237" t="s">
        <v>12</v>
      </c>
      <c r="E48" s="238" t="s">
        <v>26</v>
      </c>
      <c r="F48" s="46" t="s">
        <v>12</v>
      </c>
      <c r="G48" s="46" t="s">
        <v>12</v>
      </c>
      <c r="H48" s="238" t="s">
        <v>26</v>
      </c>
      <c r="I48" s="49" t="s">
        <v>12</v>
      </c>
      <c r="J48" s="48">
        <f t="shared" ref="J48:J49" si="1">9000*12</f>
        <v>108000</v>
      </c>
      <c r="K48" s="48" t="s">
        <v>12</v>
      </c>
      <c r="L48" s="48">
        <f t="shared" ref="L48:L49" si="2">1000*12</f>
        <v>12000</v>
      </c>
      <c r="M48" s="216">
        <f t="shared" ref="M48:M49" si="3">J48+L48</f>
        <v>120000</v>
      </c>
    </row>
    <row r="49" spans="1:13" ht="24">
      <c r="A49" s="46">
        <v>29</v>
      </c>
      <c r="B49" s="236" t="s">
        <v>650</v>
      </c>
      <c r="C49" s="245" t="s">
        <v>155</v>
      </c>
      <c r="D49" s="237" t="s">
        <v>12</v>
      </c>
      <c r="E49" s="238" t="s">
        <v>26</v>
      </c>
      <c r="F49" s="46" t="s">
        <v>12</v>
      </c>
      <c r="G49" s="46" t="s">
        <v>12</v>
      </c>
      <c r="H49" s="238" t="s">
        <v>26</v>
      </c>
      <c r="I49" s="49" t="s">
        <v>12</v>
      </c>
      <c r="J49" s="48">
        <f t="shared" si="1"/>
        <v>108000</v>
      </c>
      <c r="K49" s="48" t="s">
        <v>12</v>
      </c>
      <c r="L49" s="48">
        <f t="shared" si="2"/>
        <v>12000</v>
      </c>
      <c r="M49" s="216">
        <f t="shared" si="3"/>
        <v>120000</v>
      </c>
    </row>
    <row r="50" spans="1:13" ht="24">
      <c r="A50" s="46">
        <v>30</v>
      </c>
      <c r="B50" s="245" t="s">
        <v>12</v>
      </c>
      <c r="C50" s="238" t="s">
        <v>12</v>
      </c>
      <c r="D50" s="237" t="s">
        <v>12</v>
      </c>
      <c r="E50" s="238" t="s">
        <v>26</v>
      </c>
      <c r="F50" s="46" t="s">
        <v>12</v>
      </c>
      <c r="G50" s="46" t="s">
        <v>12</v>
      </c>
      <c r="H50" s="238" t="s">
        <v>26</v>
      </c>
      <c r="I50" s="49" t="s">
        <v>12</v>
      </c>
      <c r="J50" s="49" t="s">
        <v>12</v>
      </c>
      <c r="K50" s="49" t="s">
        <v>12</v>
      </c>
      <c r="L50" s="49" t="s">
        <v>12</v>
      </c>
      <c r="M50" s="170" t="s">
        <v>307</v>
      </c>
    </row>
    <row r="51" spans="1:13" ht="24">
      <c r="A51" s="46"/>
      <c r="B51" s="210" t="s">
        <v>259</v>
      </c>
      <c r="C51" s="271"/>
      <c r="D51" s="211"/>
      <c r="E51" s="170"/>
      <c r="F51" s="46"/>
      <c r="G51" s="46"/>
      <c r="H51" s="170"/>
      <c r="I51" s="49"/>
      <c r="J51" s="48"/>
      <c r="K51" s="48"/>
      <c r="L51" s="48"/>
      <c r="M51" s="170"/>
    </row>
    <row r="52" spans="1:13" ht="24">
      <c r="A52" s="46"/>
      <c r="B52" s="227" t="s">
        <v>35</v>
      </c>
      <c r="C52" s="170"/>
      <c r="D52" s="62"/>
      <c r="E52" s="170"/>
      <c r="F52" s="46"/>
      <c r="G52" s="46"/>
      <c r="H52" s="170"/>
      <c r="I52" s="49"/>
      <c r="J52" s="48"/>
      <c r="K52" s="48"/>
      <c r="L52" s="48"/>
      <c r="M52" s="170"/>
    </row>
    <row r="53" spans="1:13" ht="24">
      <c r="A53" s="46"/>
      <c r="B53" s="227" t="s">
        <v>260</v>
      </c>
      <c r="C53" s="170"/>
      <c r="D53" s="62"/>
      <c r="E53" s="170"/>
      <c r="F53" s="46"/>
      <c r="G53" s="46"/>
      <c r="H53" s="170"/>
      <c r="I53" s="49"/>
      <c r="J53" s="48"/>
      <c r="K53" s="48"/>
      <c r="L53" s="48"/>
      <c r="M53" s="170"/>
    </row>
    <row r="54" spans="1:13" ht="24">
      <c r="A54" s="46">
        <v>31</v>
      </c>
      <c r="B54" s="170" t="s">
        <v>12</v>
      </c>
      <c r="C54" s="170" t="s">
        <v>12</v>
      </c>
      <c r="D54" s="62" t="s">
        <v>499</v>
      </c>
      <c r="E54" s="170" t="s">
        <v>283</v>
      </c>
      <c r="F54" s="46" t="s">
        <v>471</v>
      </c>
      <c r="G54" s="46" t="s">
        <v>500</v>
      </c>
      <c r="H54" s="170" t="s">
        <v>283</v>
      </c>
      <c r="I54" s="49" t="s">
        <v>472</v>
      </c>
      <c r="J54" s="48" t="s">
        <v>12</v>
      </c>
      <c r="K54" s="48" t="s">
        <v>12</v>
      </c>
      <c r="L54" s="48" t="s">
        <v>12</v>
      </c>
      <c r="M54" s="170" t="s">
        <v>307</v>
      </c>
    </row>
    <row r="55" spans="1:13" ht="24">
      <c r="A55" s="272"/>
      <c r="B55" s="273"/>
      <c r="C55" s="273"/>
      <c r="D55" s="274"/>
      <c r="E55" s="273"/>
      <c r="F55" s="272"/>
      <c r="G55" s="272"/>
      <c r="H55" s="273"/>
      <c r="I55" s="275"/>
      <c r="J55" s="276"/>
      <c r="K55" s="276"/>
      <c r="L55" s="276"/>
      <c r="M55" s="273"/>
    </row>
    <row r="56" spans="1:13" ht="24">
      <c r="A56" s="41"/>
      <c r="B56" s="226" t="s">
        <v>501</v>
      </c>
      <c r="C56" s="165"/>
      <c r="D56" s="261"/>
      <c r="E56" s="165"/>
      <c r="F56" s="41"/>
      <c r="G56" s="41"/>
      <c r="H56" s="165"/>
      <c r="I56" s="43"/>
      <c r="J56" s="45"/>
      <c r="K56" s="45"/>
      <c r="L56" s="45"/>
      <c r="M56" s="165"/>
    </row>
    <row r="57" spans="1:13" ht="24">
      <c r="A57" s="46">
        <v>32</v>
      </c>
      <c r="B57" s="267" t="s">
        <v>261</v>
      </c>
      <c r="C57" s="170" t="s">
        <v>244</v>
      </c>
      <c r="D57" s="54" t="s">
        <v>506</v>
      </c>
      <c r="E57" s="242" t="s">
        <v>502</v>
      </c>
      <c r="F57" s="46" t="s">
        <v>504</v>
      </c>
      <c r="G57" s="54" t="s">
        <v>506</v>
      </c>
      <c r="H57" s="242" t="s">
        <v>502</v>
      </c>
      <c r="I57" s="46" t="s">
        <v>504</v>
      </c>
      <c r="J57" s="48">
        <f>28190*12</f>
        <v>338280</v>
      </c>
      <c r="K57" s="48">
        <f>5600*12</f>
        <v>67200</v>
      </c>
      <c r="L57" s="48">
        <f>5600*12</f>
        <v>67200</v>
      </c>
      <c r="M57" s="223">
        <f>SUM(J57:L57)</f>
        <v>472680</v>
      </c>
    </row>
    <row r="58" spans="1:13" ht="24">
      <c r="A58" s="46">
        <v>33</v>
      </c>
      <c r="B58" s="267" t="s">
        <v>262</v>
      </c>
      <c r="C58" s="242" t="s">
        <v>263</v>
      </c>
      <c r="D58" s="49" t="s">
        <v>507</v>
      </c>
      <c r="E58" s="242" t="s">
        <v>284</v>
      </c>
      <c r="F58" s="46" t="s">
        <v>505</v>
      </c>
      <c r="G58" s="49" t="s">
        <v>507</v>
      </c>
      <c r="H58" s="242" t="s">
        <v>284</v>
      </c>
      <c r="I58" s="46" t="s">
        <v>505</v>
      </c>
      <c r="J58" s="48">
        <f>20740*12</f>
        <v>248880</v>
      </c>
      <c r="K58" s="48" t="s">
        <v>12</v>
      </c>
      <c r="L58" s="48" t="s">
        <v>12</v>
      </c>
      <c r="M58" s="216" t="s">
        <v>12</v>
      </c>
    </row>
    <row r="59" spans="1:13" ht="24">
      <c r="A59" s="46">
        <v>34</v>
      </c>
      <c r="B59" s="267" t="s">
        <v>264</v>
      </c>
      <c r="C59" s="242" t="s">
        <v>33</v>
      </c>
      <c r="D59" s="49" t="s">
        <v>508</v>
      </c>
      <c r="E59" s="242" t="s">
        <v>284</v>
      </c>
      <c r="F59" s="46" t="s">
        <v>505</v>
      </c>
      <c r="G59" s="49" t="s">
        <v>508</v>
      </c>
      <c r="H59" s="242" t="s">
        <v>284</v>
      </c>
      <c r="I59" s="46" t="s">
        <v>505</v>
      </c>
      <c r="J59" s="48">
        <f>21150*12</f>
        <v>253800</v>
      </c>
      <c r="K59" s="48" t="s">
        <v>12</v>
      </c>
      <c r="L59" s="48" t="s">
        <v>12</v>
      </c>
      <c r="M59" s="216" t="s">
        <v>12</v>
      </c>
    </row>
    <row r="60" spans="1:13" ht="24">
      <c r="A60" s="46">
        <v>35</v>
      </c>
      <c r="B60" s="277" t="s">
        <v>649</v>
      </c>
      <c r="C60" s="278" t="s">
        <v>157</v>
      </c>
      <c r="D60" s="49" t="s">
        <v>509</v>
      </c>
      <c r="E60" s="278" t="s">
        <v>284</v>
      </c>
      <c r="F60" s="46" t="s">
        <v>505</v>
      </c>
      <c r="G60" s="49" t="s">
        <v>509</v>
      </c>
      <c r="H60" s="278" t="s">
        <v>284</v>
      </c>
      <c r="I60" s="46" t="s">
        <v>505</v>
      </c>
      <c r="J60" s="48">
        <f>21570*12</f>
        <v>258840</v>
      </c>
      <c r="K60" s="48" t="s">
        <v>12</v>
      </c>
      <c r="L60" s="48" t="s">
        <v>12</v>
      </c>
      <c r="M60" s="216" t="s">
        <v>12</v>
      </c>
    </row>
    <row r="61" spans="1:13" ht="24">
      <c r="A61" s="46">
        <v>36</v>
      </c>
      <c r="B61" s="267" t="s">
        <v>648</v>
      </c>
      <c r="C61" s="242" t="s">
        <v>263</v>
      </c>
      <c r="D61" s="49" t="s">
        <v>510</v>
      </c>
      <c r="E61" s="242" t="s">
        <v>284</v>
      </c>
      <c r="F61" s="46" t="s">
        <v>505</v>
      </c>
      <c r="G61" s="49" t="s">
        <v>510</v>
      </c>
      <c r="H61" s="242" t="s">
        <v>284</v>
      </c>
      <c r="I61" s="46" t="s">
        <v>505</v>
      </c>
      <c r="J61" s="48">
        <f>20740*12</f>
        <v>248880</v>
      </c>
      <c r="K61" s="48" t="s">
        <v>12</v>
      </c>
      <c r="L61" s="48" t="s">
        <v>12</v>
      </c>
      <c r="M61" s="216" t="s">
        <v>12</v>
      </c>
    </row>
    <row r="62" spans="1:13" ht="24">
      <c r="A62" s="46">
        <v>37</v>
      </c>
      <c r="B62" s="267" t="s">
        <v>265</v>
      </c>
      <c r="C62" s="242" t="s">
        <v>36</v>
      </c>
      <c r="D62" s="49" t="s">
        <v>511</v>
      </c>
      <c r="E62" s="242" t="s">
        <v>284</v>
      </c>
      <c r="F62" s="46" t="s">
        <v>505</v>
      </c>
      <c r="G62" s="49" t="s">
        <v>511</v>
      </c>
      <c r="H62" s="242" t="s">
        <v>284</v>
      </c>
      <c r="I62" s="46" t="s">
        <v>505</v>
      </c>
      <c r="J62" s="48">
        <f>20740*12</f>
        <v>248880</v>
      </c>
      <c r="K62" s="48" t="s">
        <v>12</v>
      </c>
      <c r="L62" s="48" t="s">
        <v>12</v>
      </c>
      <c r="M62" s="216" t="s">
        <v>12</v>
      </c>
    </row>
    <row r="63" spans="1:13" ht="24">
      <c r="A63" s="46">
        <v>38</v>
      </c>
      <c r="B63" s="267" t="s">
        <v>647</v>
      </c>
      <c r="C63" s="242" t="s">
        <v>33</v>
      </c>
      <c r="D63" s="49" t="s">
        <v>512</v>
      </c>
      <c r="E63" s="242" t="s">
        <v>284</v>
      </c>
      <c r="F63" s="46" t="s">
        <v>505</v>
      </c>
      <c r="G63" s="49" t="s">
        <v>512</v>
      </c>
      <c r="H63" s="242" t="s">
        <v>284</v>
      </c>
      <c r="I63" s="46" t="s">
        <v>505</v>
      </c>
      <c r="J63" s="48">
        <f>21150*12</f>
        <v>253800</v>
      </c>
      <c r="K63" s="48" t="s">
        <v>12</v>
      </c>
      <c r="L63" s="48" t="s">
        <v>12</v>
      </c>
      <c r="M63" s="216" t="s">
        <v>12</v>
      </c>
    </row>
    <row r="64" spans="1:13" ht="24">
      <c r="A64" s="46">
        <v>39</v>
      </c>
      <c r="B64" s="267" t="s">
        <v>646</v>
      </c>
      <c r="C64" s="170" t="s">
        <v>244</v>
      </c>
      <c r="D64" s="54" t="s">
        <v>513</v>
      </c>
      <c r="E64" s="242" t="s">
        <v>284</v>
      </c>
      <c r="F64" s="46" t="s">
        <v>505</v>
      </c>
      <c r="G64" s="54" t="s">
        <v>513</v>
      </c>
      <c r="H64" s="242" t="s">
        <v>284</v>
      </c>
      <c r="I64" s="46" t="s">
        <v>505</v>
      </c>
      <c r="J64" s="48">
        <f>20320*12</f>
        <v>243840</v>
      </c>
      <c r="K64" s="48" t="s">
        <v>12</v>
      </c>
      <c r="L64" s="48" t="s">
        <v>12</v>
      </c>
      <c r="M64" s="216" t="s">
        <v>12</v>
      </c>
    </row>
    <row r="65" spans="1:13" ht="24">
      <c r="A65" s="46">
        <v>40</v>
      </c>
      <c r="B65" s="267" t="s">
        <v>266</v>
      </c>
      <c r="C65" s="170" t="s">
        <v>244</v>
      </c>
      <c r="D65" s="54" t="s">
        <v>514</v>
      </c>
      <c r="E65" s="242" t="s">
        <v>284</v>
      </c>
      <c r="F65" s="46" t="s">
        <v>505</v>
      </c>
      <c r="G65" s="54" t="s">
        <v>514</v>
      </c>
      <c r="H65" s="242" t="s">
        <v>284</v>
      </c>
      <c r="I65" s="46" t="s">
        <v>505</v>
      </c>
      <c r="J65" s="48">
        <f>20740*12</f>
        <v>248880</v>
      </c>
      <c r="K65" s="48" t="s">
        <v>12</v>
      </c>
      <c r="L65" s="48" t="s">
        <v>12</v>
      </c>
      <c r="M65" s="216" t="s">
        <v>12</v>
      </c>
    </row>
    <row r="66" spans="1:13" ht="24">
      <c r="A66" s="46">
        <v>41</v>
      </c>
      <c r="B66" s="267" t="s">
        <v>645</v>
      </c>
      <c r="C66" s="170" t="s">
        <v>267</v>
      </c>
      <c r="D66" s="54" t="s">
        <v>516</v>
      </c>
      <c r="E66" s="242" t="s">
        <v>284</v>
      </c>
      <c r="F66" s="46" t="s">
        <v>505</v>
      </c>
      <c r="G66" s="54" t="s">
        <v>516</v>
      </c>
      <c r="H66" s="242" t="s">
        <v>284</v>
      </c>
      <c r="I66" s="46" t="s">
        <v>505</v>
      </c>
      <c r="J66" s="48">
        <f>18690*12</f>
        <v>224280</v>
      </c>
      <c r="K66" s="48" t="s">
        <v>12</v>
      </c>
      <c r="L66" s="48" t="s">
        <v>12</v>
      </c>
      <c r="M66" s="216" t="s">
        <v>12</v>
      </c>
    </row>
    <row r="67" spans="1:13" ht="24">
      <c r="A67" s="46">
        <v>42</v>
      </c>
      <c r="B67" s="267" t="s">
        <v>268</v>
      </c>
      <c r="C67" s="170" t="s">
        <v>263</v>
      </c>
      <c r="D67" s="54" t="s">
        <v>517</v>
      </c>
      <c r="E67" s="242" t="s">
        <v>284</v>
      </c>
      <c r="F67" s="46" t="s">
        <v>505</v>
      </c>
      <c r="G67" s="54" t="s">
        <v>517</v>
      </c>
      <c r="H67" s="242" t="s">
        <v>284</v>
      </c>
      <c r="I67" s="46" t="s">
        <v>505</v>
      </c>
      <c r="J67" s="48">
        <f>17910*12</f>
        <v>214920</v>
      </c>
      <c r="K67" s="48" t="s">
        <v>12</v>
      </c>
      <c r="L67" s="48" t="s">
        <v>12</v>
      </c>
      <c r="M67" s="216" t="s">
        <v>12</v>
      </c>
    </row>
    <row r="68" spans="1:13" ht="24">
      <c r="A68" s="46">
        <v>43</v>
      </c>
      <c r="B68" s="267" t="s">
        <v>644</v>
      </c>
      <c r="C68" s="242" t="s">
        <v>42</v>
      </c>
      <c r="D68" s="54" t="s">
        <v>515</v>
      </c>
      <c r="E68" s="242" t="s">
        <v>284</v>
      </c>
      <c r="F68" s="46" t="s">
        <v>505</v>
      </c>
      <c r="G68" s="54" t="s">
        <v>515</v>
      </c>
      <c r="H68" s="242" t="s">
        <v>284</v>
      </c>
      <c r="I68" s="46" t="s">
        <v>505</v>
      </c>
      <c r="J68" s="48">
        <f>19100*12</f>
        <v>229200</v>
      </c>
      <c r="K68" s="48" t="s">
        <v>12</v>
      </c>
      <c r="L68" s="48" t="s">
        <v>12</v>
      </c>
      <c r="M68" s="216" t="s">
        <v>12</v>
      </c>
    </row>
    <row r="69" spans="1:13" ht="24">
      <c r="A69" s="46">
        <v>44</v>
      </c>
      <c r="B69" s="267" t="s">
        <v>643</v>
      </c>
      <c r="C69" s="242" t="s">
        <v>244</v>
      </c>
      <c r="D69" s="54" t="s">
        <v>518</v>
      </c>
      <c r="E69" s="242" t="s">
        <v>286</v>
      </c>
      <c r="F69" s="46" t="s">
        <v>12</v>
      </c>
      <c r="G69" s="54" t="s">
        <v>518</v>
      </c>
      <c r="H69" s="242" t="s">
        <v>286</v>
      </c>
      <c r="I69" s="46" t="s">
        <v>12</v>
      </c>
      <c r="J69" s="48">
        <f>19100*12</f>
        <v>229200</v>
      </c>
      <c r="K69" s="48" t="s">
        <v>12</v>
      </c>
      <c r="L69" s="48" t="s">
        <v>12</v>
      </c>
      <c r="M69" s="216" t="s">
        <v>12</v>
      </c>
    </row>
    <row r="70" spans="1:13" ht="24">
      <c r="A70" s="46">
        <v>45</v>
      </c>
      <c r="B70" s="267" t="s">
        <v>269</v>
      </c>
      <c r="C70" s="242" t="s">
        <v>270</v>
      </c>
      <c r="D70" s="54" t="s">
        <v>519</v>
      </c>
      <c r="E70" s="242" t="s">
        <v>286</v>
      </c>
      <c r="F70" s="46" t="s">
        <v>12</v>
      </c>
      <c r="G70" s="54" t="s">
        <v>519</v>
      </c>
      <c r="H70" s="242" t="s">
        <v>286</v>
      </c>
      <c r="I70" s="46" t="s">
        <v>12</v>
      </c>
      <c r="J70" s="48">
        <f>16920*12</f>
        <v>203040</v>
      </c>
      <c r="K70" s="48" t="s">
        <v>12</v>
      </c>
      <c r="L70" s="48" t="s">
        <v>12</v>
      </c>
      <c r="M70" s="216" t="s">
        <v>12</v>
      </c>
    </row>
    <row r="71" spans="1:13" ht="24">
      <c r="A71" s="65">
        <v>46</v>
      </c>
      <c r="B71" s="161" t="s">
        <v>537</v>
      </c>
      <c r="C71" s="162" t="s">
        <v>630</v>
      </c>
      <c r="D71" s="67" t="s">
        <v>12</v>
      </c>
      <c r="E71" s="162" t="s">
        <v>520</v>
      </c>
      <c r="F71" s="65" t="s">
        <v>12</v>
      </c>
      <c r="G71" s="65" t="s">
        <v>12</v>
      </c>
      <c r="H71" s="162" t="s">
        <v>521</v>
      </c>
      <c r="I71" s="65" t="s">
        <v>12</v>
      </c>
      <c r="J71" s="82">
        <f>9000*12</f>
        <v>108000</v>
      </c>
      <c r="K71" s="69" t="s">
        <v>12</v>
      </c>
      <c r="L71" s="69">
        <f>1000*12</f>
        <v>12000</v>
      </c>
      <c r="M71" s="220">
        <f>SUM(J71:L71)</f>
        <v>120000</v>
      </c>
    </row>
    <row r="72" spans="1:13" ht="24">
      <c r="A72" s="41"/>
      <c r="B72" s="279" t="s">
        <v>522</v>
      </c>
      <c r="C72" s="165"/>
      <c r="D72" s="261"/>
      <c r="E72" s="165"/>
      <c r="F72" s="41"/>
      <c r="G72" s="41"/>
      <c r="H72" s="165"/>
      <c r="I72" s="43"/>
      <c r="J72" s="45"/>
      <c r="K72" s="45"/>
      <c r="L72" s="45"/>
      <c r="M72" s="215"/>
    </row>
    <row r="73" spans="1:13" ht="24">
      <c r="A73" s="46">
        <v>47</v>
      </c>
      <c r="B73" s="267" t="s">
        <v>642</v>
      </c>
      <c r="C73" s="242" t="s">
        <v>263</v>
      </c>
      <c r="D73" s="54" t="s">
        <v>523</v>
      </c>
      <c r="E73" s="242" t="s">
        <v>284</v>
      </c>
      <c r="F73" s="46" t="s">
        <v>505</v>
      </c>
      <c r="G73" s="54" t="s">
        <v>523</v>
      </c>
      <c r="H73" s="242" t="s">
        <v>284</v>
      </c>
      <c r="I73" s="46" t="s">
        <v>503</v>
      </c>
      <c r="J73" s="48">
        <f>19510*12</f>
        <v>234120</v>
      </c>
      <c r="K73" s="48" t="s">
        <v>12</v>
      </c>
      <c r="L73" s="48" t="s">
        <v>12</v>
      </c>
      <c r="M73" s="216" t="s">
        <v>12</v>
      </c>
    </row>
    <row r="74" spans="1:13" ht="24">
      <c r="A74" s="46">
        <v>48</v>
      </c>
      <c r="B74" s="277" t="s">
        <v>641</v>
      </c>
      <c r="C74" s="278" t="s">
        <v>244</v>
      </c>
      <c r="D74" s="54" t="s">
        <v>524</v>
      </c>
      <c r="E74" s="278" t="s">
        <v>285</v>
      </c>
      <c r="F74" s="46" t="s">
        <v>12</v>
      </c>
      <c r="G74" s="54" t="s">
        <v>524</v>
      </c>
      <c r="H74" s="278" t="s">
        <v>285</v>
      </c>
      <c r="I74" s="46" t="s">
        <v>12</v>
      </c>
      <c r="J74" s="48">
        <f>16920*12</f>
        <v>203040</v>
      </c>
      <c r="K74" s="48" t="s">
        <v>12</v>
      </c>
      <c r="L74" s="48" t="s">
        <v>12</v>
      </c>
      <c r="M74" s="216" t="s">
        <v>12</v>
      </c>
    </row>
    <row r="75" spans="1:13" ht="24">
      <c r="A75" s="46">
        <v>49</v>
      </c>
      <c r="B75" s="267" t="s">
        <v>276</v>
      </c>
      <c r="C75" s="242" t="s">
        <v>235</v>
      </c>
      <c r="D75" s="54" t="s">
        <v>525</v>
      </c>
      <c r="E75" s="242" t="s">
        <v>285</v>
      </c>
      <c r="F75" s="46" t="s">
        <v>12</v>
      </c>
      <c r="G75" s="54" t="s">
        <v>525</v>
      </c>
      <c r="H75" s="242" t="s">
        <v>285</v>
      </c>
      <c r="I75" s="46" t="s">
        <v>12</v>
      </c>
      <c r="J75" s="48">
        <f>17310*12</f>
        <v>207720</v>
      </c>
      <c r="K75" s="48" t="s">
        <v>12</v>
      </c>
      <c r="L75" s="48" t="s">
        <v>12</v>
      </c>
      <c r="M75" s="216" t="s">
        <v>12</v>
      </c>
    </row>
    <row r="76" spans="1:13" ht="24">
      <c r="A76" s="46"/>
      <c r="B76" s="280" t="s">
        <v>526</v>
      </c>
      <c r="C76" s="238"/>
      <c r="D76" s="237"/>
      <c r="E76" s="238"/>
      <c r="F76" s="46"/>
      <c r="G76" s="46"/>
      <c r="H76" s="170"/>
      <c r="I76" s="49"/>
      <c r="J76" s="48"/>
      <c r="K76" s="48"/>
      <c r="L76" s="48"/>
      <c r="M76" s="170"/>
    </row>
    <row r="77" spans="1:13" ht="24">
      <c r="A77" s="46">
        <v>50</v>
      </c>
      <c r="B77" s="267" t="s">
        <v>271</v>
      </c>
      <c r="C77" s="242" t="s">
        <v>272</v>
      </c>
      <c r="D77" s="54" t="s">
        <v>527</v>
      </c>
      <c r="E77" s="242" t="s">
        <v>502</v>
      </c>
      <c r="F77" s="46" t="s">
        <v>503</v>
      </c>
      <c r="G77" s="54" t="s">
        <v>527</v>
      </c>
      <c r="H77" s="242" t="s">
        <v>502</v>
      </c>
      <c r="I77" s="46" t="s">
        <v>503</v>
      </c>
      <c r="J77" s="48">
        <f>24930*12</f>
        <v>299160</v>
      </c>
      <c r="K77" s="48" t="s">
        <v>12</v>
      </c>
      <c r="L77" s="48">
        <f>3500*12</f>
        <v>42000</v>
      </c>
      <c r="M77" s="223">
        <f>SUM(J77:L77)</f>
        <v>341160</v>
      </c>
    </row>
    <row r="78" spans="1:13" ht="24">
      <c r="A78" s="46">
        <v>51</v>
      </c>
      <c r="B78" s="267" t="s">
        <v>638</v>
      </c>
      <c r="C78" s="242" t="s">
        <v>263</v>
      </c>
      <c r="D78" s="54" t="s">
        <v>528</v>
      </c>
      <c r="E78" s="242" t="s">
        <v>284</v>
      </c>
      <c r="F78" s="46" t="s">
        <v>505</v>
      </c>
      <c r="G78" s="54" t="s">
        <v>528</v>
      </c>
      <c r="H78" s="242" t="s">
        <v>284</v>
      </c>
      <c r="I78" s="46" t="s">
        <v>505</v>
      </c>
      <c r="J78" s="48">
        <f>21570*12</f>
        <v>258840</v>
      </c>
      <c r="K78" s="48" t="s">
        <v>12</v>
      </c>
      <c r="L78" s="48" t="s">
        <v>12</v>
      </c>
      <c r="M78" s="216" t="s">
        <v>12</v>
      </c>
    </row>
    <row r="79" spans="1:13" ht="24">
      <c r="A79" s="46">
        <v>52</v>
      </c>
      <c r="B79" s="267" t="s">
        <v>640</v>
      </c>
      <c r="C79" s="242" t="s">
        <v>263</v>
      </c>
      <c r="D79" s="54" t="s">
        <v>529</v>
      </c>
      <c r="E79" s="242" t="s">
        <v>284</v>
      </c>
      <c r="F79" s="46" t="s">
        <v>505</v>
      </c>
      <c r="G79" s="54" t="s">
        <v>529</v>
      </c>
      <c r="H79" s="242" t="s">
        <v>284</v>
      </c>
      <c r="I79" s="46" t="s">
        <v>505</v>
      </c>
      <c r="J79" s="48">
        <f>21150*12</f>
        <v>253800</v>
      </c>
      <c r="K79" s="48" t="s">
        <v>12</v>
      </c>
      <c r="L79" s="48" t="s">
        <v>12</v>
      </c>
      <c r="M79" s="216" t="s">
        <v>12</v>
      </c>
    </row>
    <row r="80" spans="1:13" ht="24">
      <c r="A80" s="46">
        <v>53</v>
      </c>
      <c r="B80" s="267" t="s">
        <v>273</v>
      </c>
      <c r="C80" s="242" t="s">
        <v>274</v>
      </c>
      <c r="D80" s="54" t="s">
        <v>530</v>
      </c>
      <c r="E80" s="242" t="s">
        <v>284</v>
      </c>
      <c r="F80" s="46" t="s">
        <v>505</v>
      </c>
      <c r="G80" s="54" t="s">
        <v>530</v>
      </c>
      <c r="H80" s="242" t="s">
        <v>284</v>
      </c>
      <c r="I80" s="46" t="s">
        <v>505</v>
      </c>
      <c r="J80" s="48">
        <f>21150*12</f>
        <v>253800</v>
      </c>
      <c r="K80" s="48" t="s">
        <v>12</v>
      </c>
      <c r="L80" s="48" t="s">
        <v>12</v>
      </c>
      <c r="M80" s="216" t="s">
        <v>12</v>
      </c>
    </row>
    <row r="81" spans="1:13" ht="24">
      <c r="A81" s="46">
        <v>54</v>
      </c>
      <c r="B81" s="267" t="s">
        <v>639</v>
      </c>
      <c r="C81" s="242" t="s">
        <v>267</v>
      </c>
      <c r="D81" s="54" t="s">
        <v>531</v>
      </c>
      <c r="E81" s="242" t="s">
        <v>284</v>
      </c>
      <c r="F81" s="46" t="s">
        <v>505</v>
      </c>
      <c r="G81" s="54" t="s">
        <v>531</v>
      </c>
      <c r="H81" s="242" t="s">
        <v>284</v>
      </c>
      <c r="I81" s="46" t="s">
        <v>505</v>
      </c>
      <c r="J81" s="48">
        <f>17910*12</f>
        <v>214920</v>
      </c>
      <c r="K81" s="48" t="s">
        <v>12</v>
      </c>
      <c r="L81" s="48" t="s">
        <v>12</v>
      </c>
      <c r="M81" s="216" t="s">
        <v>12</v>
      </c>
    </row>
    <row r="82" spans="1:13" ht="24">
      <c r="A82" s="46">
        <v>55</v>
      </c>
      <c r="B82" s="267" t="s">
        <v>275</v>
      </c>
      <c r="C82" s="242" t="s">
        <v>244</v>
      </c>
      <c r="D82" s="54" t="s">
        <v>532</v>
      </c>
      <c r="E82" s="242" t="s">
        <v>286</v>
      </c>
      <c r="F82" s="46" t="s">
        <v>12</v>
      </c>
      <c r="G82" s="54" t="s">
        <v>532</v>
      </c>
      <c r="H82" s="242" t="s">
        <v>286</v>
      </c>
      <c r="I82" s="46" t="s">
        <v>12</v>
      </c>
      <c r="J82" s="48">
        <f>19510*12</f>
        <v>234120</v>
      </c>
      <c r="K82" s="48" t="s">
        <v>12</v>
      </c>
      <c r="L82" s="48" t="s">
        <v>12</v>
      </c>
      <c r="M82" s="216" t="s">
        <v>12</v>
      </c>
    </row>
    <row r="83" spans="1:13" s="18" customFormat="1" ht="24">
      <c r="A83" s="46">
        <v>56</v>
      </c>
      <c r="B83" s="159" t="s">
        <v>536</v>
      </c>
      <c r="C83" s="170" t="s">
        <v>388</v>
      </c>
      <c r="D83" s="62" t="s">
        <v>12</v>
      </c>
      <c r="E83" s="170" t="s">
        <v>521</v>
      </c>
      <c r="F83" s="46" t="s">
        <v>12</v>
      </c>
      <c r="G83" s="62" t="s">
        <v>12</v>
      </c>
      <c r="H83" s="170" t="s">
        <v>521</v>
      </c>
      <c r="I83" s="46" t="s">
        <v>12</v>
      </c>
      <c r="J83" s="55">
        <f>9000*12</f>
        <v>108000</v>
      </c>
      <c r="K83" s="48" t="s">
        <v>12</v>
      </c>
      <c r="L83" s="48">
        <f>1000*12</f>
        <v>12000</v>
      </c>
      <c r="M83" s="216">
        <f>SUM(J83:L83)</f>
        <v>120000</v>
      </c>
    </row>
    <row r="84" spans="1:13" ht="24">
      <c r="A84" s="46"/>
      <c r="B84" s="227" t="s">
        <v>533</v>
      </c>
      <c r="C84" s="170"/>
      <c r="D84" s="62"/>
      <c r="E84" s="170"/>
      <c r="F84" s="46"/>
      <c r="G84" s="49"/>
      <c r="H84" s="170"/>
      <c r="I84" s="49"/>
      <c r="J84" s="48"/>
      <c r="K84" s="48"/>
      <c r="L84" s="48"/>
      <c r="M84" s="216"/>
    </row>
    <row r="85" spans="1:13" ht="24">
      <c r="A85" s="46">
        <v>57</v>
      </c>
      <c r="B85" s="236" t="s">
        <v>277</v>
      </c>
      <c r="C85" s="238" t="s">
        <v>263</v>
      </c>
      <c r="D85" s="54" t="s">
        <v>534</v>
      </c>
      <c r="E85" s="238" t="s">
        <v>284</v>
      </c>
      <c r="F85" s="46" t="s">
        <v>505</v>
      </c>
      <c r="G85" s="237" t="s">
        <v>534</v>
      </c>
      <c r="H85" s="238" t="s">
        <v>284</v>
      </c>
      <c r="I85" s="46" t="s">
        <v>505</v>
      </c>
      <c r="J85" s="48">
        <f>19510*12</f>
        <v>234120</v>
      </c>
      <c r="K85" s="48" t="s">
        <v>12</v>
      </c>
      <c r="L85" s="48" t="s">
        <v>12</v>
      </c>
      <c r="M85" s="216" t="s">
        <v>12</v>
      </c>
    </row>
    <row r="86" spans="1:13" ht="24">
      <c r="A86" s="65">
        <v>58</v>
      </c>
      <c r="B86" s="281" t="s">
        <v>278</v>
      </c>
      <c r="C86" s="282" t="s">
        <v>270</v>
      </c>
      <c r="D86" s="283" t="s">
        <v>535</v>
      </c>
      <c r="E86" s="282" t="s">
        <v>285</v>
      </c>
      <c r="F86" s="65" t="s">
        <v>12</v>
      </c>
      <c r="G86" s="284" t="s">
        <v>535</v>
      </c>
      <c r="H86" s="282" t="s">
        <v>285</v>
      </c>
      <c r="I86" s="65" t="s">
        <v>12</v>
      </c>
      <c r="J86" s="69">
        <f>18270*12</f>
        <v>219240</v>
      </c>
      <c r="K86" s="69" t="s">
        <v>12</v>
      </c>
      <c r="L86" s="69" t="s">
        <v>12</v>
      </c>
      <c r="M86" s="220" t="s">
        <v>12</v>
      </c>
    </row>
    <row r="87" spans="1:13" ht="24">
      <c r="A87" s="64"/>
      <c r="B87" s="107"/>
      <c r="C87" s="64"/>
      <c r="D87" s="108"/>
      <c r="E87" s="64"/>
      <c r="F87" s="64"/>
      <c r="G87" s="64"/>
      <c r="H87" s="64"/>
      <c r="I87" s="106"/>
      <c r="J87" s="108"/>
      <c r="K87" s="108"/>
      <c r="L87" s="108"/>
      <c r="M87" s="285"/>
    </row>
    <row r="88" spans="1:13" ht="24">
      <c r="A88" s="64"/>
      <c r="B88" s="107"/>
      <c r="C88" s="64"/>
      <c r="D88" s="108"/>
      <c r="E88" s="64"/>
      <c r="F88" s="64"/>
      <c r="G88" s="64"/>
      <c r="H88" s="64"/>
      <c r="I88" s="106"/>
      <c r="J88" s="108"/>
      <c r="K88" s="108"/>
      <c r="L88" s="108"/>
      <c r="M88" s="285"/>
    </row>
    <row r="89" spans="1:13" ht="24">
      <c r="A89" s="64"/>
      <c r="B89" s="107"/>
      <c r="C89" s="64"/>
      <c r="D89" s="108"/>
      <c r="E89" s="64"/>
      <c r="F89" s="64"/>
      <c r="G89" s="64"/>
      <c r="H89" s="64"/>
      <c r="I89" s="106"/>
      <c r="J89" s="108"/>
      <c r="K89" s="108"/>
      <c r="L89" s="108"/>
      <c r="M89" s="285"/>
    </row>
    <row r="90" spans="1:13" ht="24">
      <c r="A90" s="64"/>
      <c r="B90" s="107"/>
      <c r="C90" s="64"/>
      <c r="D90" s="108"/>
      <c r="E90" s="64"/>
      <c r="F90" s="64"/>
      <c r="G90" s="64"/>
      <c r="H90" s="64"/>
      <c r="I90" s="106"/>
      <c r="J90" s="108"/>
      <c r="K90" s="108"/>
      <c r="L90" s="108"/>
      <c r="M90" s="285"/>
    </row>
    <row r="91" spans="1:13" ht="24">
      <c r="A91" s="64"/>
      <c r="B91" s="107"/>
      <c r="C91" s="64"/>
      <c r="D91" s="108"/>
      <c r="E91" s="64"/>
      <c r="F91" s="64"/>
      <c r="G91" s="64"/>
      <c r="H91" s="64"/>
      <c r="I91" s="106"/>
      <c r="J91" s="108"/>
      <c r="K91" s="108"/>
      <c r="L91" s="108"/>
      <c r="M91" s="285"/>
    </row>
    <row r="92" spans="1:13" ht="24">
      <c r="A92" s="64"/>
      <c r="B92" s="107"/>
      <c r="C92" s="64"/>
      <c r="D92" s="108"/>
      <c r="E92" s="64"/>
      <c r="F92" s="64"/>
      <c r="G92" s="64"/>
      <c r="H92" s="64"/>
      <c r="I92" s="106"/>
      <c r="J92" s="108"/>
      <c r="K92" s="108"/>
      <c r="L92" s="108"/>
      <c r="M92" s="285"/>
    </row>
    <row r="93" spans="1:13" ht="24">
      <c r="A93" s="64"/>
      <c r="B93" s="107"/>
      <c r="C93" s="64"/>
      <c r="D93" s="108"/>
      <c r="E93" s="64"/>
      <c r="F93" s="64"/>
      <c r="G93" s="64"/>
      <c r="H93" s="64"/>
      <c r="I93" s="106"/>
      <c r="J93" s="108"/>
      <c r="K93" s="108"/>
      <c r="L93" s="108"/>
      <c r="M93" s="285"/>
    </row>
    <row r="94" spans="1:13" ht="24">
      <c r="A94" s="64"/>
      <c r="B94" s="107"/>
      <c r="C94" s="64"/>
      <c r="D94" s="108"/>
      <c r="E94" s="64"/>
      <c r="F94" s="64"/>
      <c r="G94" s="64"/>
      <c r="H94" s="64"/>
      <c r="I94" s="106"/>
      <c r="J94" s="108"/>
      <c r="K94" s="108"/>
      <c r="L94" s="108"/>
      <c r="M94" s="285"/>
    </row>
    <row r="95" spans="1:13" ht="24">
      <c r="A95" s="64"/>
      <c r="B95" s="107"/>
      <c r="C95" s="64"/>
      <c r="D95" s="108"/>
      <c r="E95" s="64"/>
      <c r="F95" s="64"/>
      <c r="G95" s="64"/>
      <c r="H95" s="64"/>
      <c r="I95" s="106"/>
      <c r="J95" s="108"/>
      <c r="K95" s="108"/>
      <c r="L95" s="108"/>
      <c r="M95" s="285"/>
    </row>
    <row r="96" spans="1:13" ht="24">
      <c r="A96" s="64"/>
      <c r="B96" s="107"/>
      <c r="C96" s="64"/>
      <c r="D96" s="108"/>
      <c r="E96" s="64"/>
      <c r="F96" s="64"/>
      <c r="G96" s="64"/>
      <c r="H96" s="64"/>
      <c r="I96" s="106"/>
      <c r="J96" s="108"/>
      <c r="K96" s="108"/>
      <c r="L96" s="108"/>
      <c r="M96" s="285"/>
    </row>
    <row r="97" spans="1:13" ht="24">
      <c r="A97" s="64"/>
      <c r="B97" s="107"/>
      <c r="C97" s="64"/>
      <c r="D97" s="108"/>
      <c r="E97" s="64"/>
      <c r="F97" s="64"/>
      <c r="G97" s="64"/>
      <c r="H97" s="64"/>
      <c r="I97" s="106"/>
      <c r="J97" s="108"/>
      <c r="K97" s="108"/>
      <c r="L97" s="108"/>
      <c r="M97" s="285"/>
    </row>
    <row r="98" spans="1:13" ht="24">
      <c r="A98" s="64"/>
      <c r="B98" s="107"/>
      <c r="C98" s="64"/>
      <c r="D98" s="108"/>
      <c r="E98" s="64"/>
      <c r="F98" s="64"/>
      <c r="G98" s="64"/>
      <c r="H98" s="64"/>
      <c r="I98" s="106"/>
      <c r="J98" s="108"/>
      <c r="K98" s="108"/>
      <c r="L98" s="108"/>
      <c r="M98" s="285"/>
    </row>
    <row r="99" spans="1:13" ht="24">
      <c r="A99" s="64"/>
      <c r="B99" s="107"/>
      <c r="C99" s="64"/>
      <c r="D99" s="108"/>
      <c r="E99" s="64"/>
      <c r="F99" s="64"/>
      <c r="G99" s="64"/>
      <c r="H99" s="64"/>
      <c r="I99" s="106"/>
      <c r="J99" s="108"/>
      <c r="K99" s="108"/>
      <c r="L99" s="108"/>
      <c r="M99" s="285"/>
    </row>
    <row r="100" spans="1:13" ht="24">
      <c r="A100" s="64"/>
      <c r="B100" s="107"/>
      <c r="C100" s="64"/>
      <c r="D100" s="108"/>
      <c r="E100" s="64"/>
      <c r="F100" s="64"/>
      <c r="G100" s="64"/>
      <c r="H100" s="64"/>
      <c r="I100" s="106"/>
      <c r="J100" s="108"/>
      <c r="K100" s="108"/>
      <c r="L100" s="108"/>
      <c r="M100" s="285"/>
    </row>
    <row r="101" spans="1:13" ht="24">
      <c r="A101" s="64"/>
      <c r="B101" s="107"/>
      <c r="C101" s="64"/>
      <c r="D101" s="108"/>
      <c r="E101" s="64"/>
      <c r="F101" s="64"/>
      <c r="G101" s="64"/>
      <c r="H101" s="64"/>
      <c r="I101" s="106"/>
      <c r="J101" s="108"/>
      <c r="K101" s="108"/>
      <c r="L101" s="108"/>
      <c r="M101" s="285"/>
    </row>
    <row r="102" spans="1:13" ht="24">
      <c r="A102" s="64"/>
      <c r="B102" s="107"/>
      <c r="C102" s="64"/>
      <c r="D102" s="108"/>
      <c r="E102" s="64"/>
      <c r="F102" s="64"/>
      <c r="G102" s="64"/>
      <c r="H102" s="64"/>
      <c r="I102" s="106"/>
      <c r="J102" s="108"/>
      <c r="K102" s="108"/>
      <c r="L102" s="108"/>
      <c r="M102" s="285"/>
    </row>
    <row r="103" spans="1:13" ht="24">
      <c r="A103" s="64"/>
      <c r="B103" s="107"/>
      <c r="C103" s="64"/>
      <c r="D103" s="108"/>
      <c r="E103" s="64"/>
      <c r="F103" s="64"/>
      <c r="G103" s="64"/>
      <c r="H103" s="64"/>
      <c r="I103" s="106"/>
      <c r="J103" s="108"/>
      <c r="K103" s="108"/>
      <c r="L103" s="108"/>
      <c r="M103" s="285"/>
    </row>
    <row r="104" spans="1:13" ht="24">
      <c r="A104" s="64"/>
      <c r="B104" s="107"/>
      <c r="C104" s="64"/>
      <c r="D104" s="108"/>
      <c r="E104" s="64"/>
      <c r="F104" s="64"/>
      <c r="G104" s="64"/>
      <c r="H104" s="64"/>
      <c r="I104" s="106"/>
      <c r="J104" s="108"/>
      <c r="K104" s="108"/>
      <c r="L104" s="108"/>
      <c r="M104" s="285"/>
    </row>
    <row r="105" spans="1:13" ht="24">
      <c r="A105" s="64"/>
      <c r="B105" s="107"/>
      <c r="C105" s="64"/>
      <c r="D105" s="108"/>
      <c r="E105" s="64"/>
      <c r="F105" s="64"/>
      <c r="G105" s="64"/>
      <c r="H105" s="64"/>
      <c r="I105" s="106"/>
      <c r="J105" s="108"/>
      <c r="K105" s="108"/>
      <c r="L105" s="108"/>
      <c r="M105" s="285"/>
    </row>
    <row r="106" spans="1:13" ht="24">
      <c r="A106" s="64"/>
      <c r="B106" s="107"/>
      <c r="C106" s="64"/>
      <c r="D106" s="108"/>
      <c r="E106" s="64"/>
      <c r="F106" s="64"/>
      <c r="G106" s="64"/>
      <c r="H106" s="64"/>
      <c r="I106" s="106"/>
      <c r="J106" s="108"/>
      <c r="K106" s="108"/>
      <c r="L106" s="108"/>
      <c r="M106" s="285"/>
    </row>
    <row r="107" spans="1:13" ht="24">
      <c r="A107" s="64"/>
      <c r="B107" s="107"/>
      <c r="C107" s="64"/>
      <c r="D107" s="108"/>
      <c r="E107" s="64"/>
      <c r="F107" s="64"/>
      <c r="G107" s="64"/>
      <c r="H107" s="64"/>
      <c r="I107" s="106"/>
      <c r="J107" s="108"/>
      <c r="K107" s="108"/>
      <c r="L107" s="108"/>
      <c r="M107" s="285"/>
    </row>
    <row r="108" spans="1:13" ht="24">
      <c r="A108" s="64"/>
      <c r="B108" s="107"/>
      <c r="C108" s="64"/>
      <c r="D108" s="108"/>
      <c r="E108" s="64"/>
      <c r="F108" s="64"/>
      <c r="G108" s="64"/>
      <c r="H108" s="64"/>
      <c r="I108" s="106"/>
      <c r="J108" s="108"/>
      <c r="K108" s="108"/>
      <c r="L108" s="108"/>
      <c r="M108" s="285"/>
    </row>
    <row r="109" spans="1:13" ht="24">
      <c r="A109" s="64"/>
      <c r="B109" s="107"/>
      <c r="C109" s="64"/>
      <c r="D109" s="108"/>
      <c r="E109" s="64"/>
      <c r="F109" s="64"/>
      <c r="G109" s="64"/>
      <c r="H109" s="64"/>
      <c r="I109" s="106"/>
      <c r="J109" s="108"/>
      <c r="K109" s="108"/>
      <c r="L109" s="108"/>
      <c r="M109" s="285"/>
    </row>
    <row r="110" spans="1:13" ht="24">
      <c r="A110" s="64"/>
      <c r="B110" s="107"/>
      <c r="C110" s="64"/>
      <c r="D110" s="108"/>
      <c r="E110" s="64"/>
      <c r="F110" s="64"/>
      <c r="G110" s="64"/>
      <c r="H110" s="64"/>
      <c r="I110" s="106"/>
      <c r="J110" s="108"/>
      <c r="K110" s="108"/>
      <c r="L110" s="108"/>
      <c r="M110" s="285"/>
    </row>
    <row r="111" spans="1:13" ht="24">
      <c r="A111" s="64"/>
      <c r="B111" s="107"/>
      <c r="C111" s="64"/>
      <c r="D111" s="108"/>
      <c r="E111" s="64"/>
      <c r="F111" s="64"/>
      <c r="G111" s="64"/>
      <c r="H111" s="64"/>
      <c r="I111" s="106"/>
      <c r="J111" s="108"/>
      <c r="K111" s="108"/>
      <c r="L111" s="108"/>
      <c r="M111" s="285"/>
    </row>
    <row r="112" spans="1:13" ht="24">
      <c r="A112" s="64"/>
      <c r="B112" s="107"/>
      <c r="C112" s="64"/>
      <c r="D112" s="108"/>
      <c r="E112" s="64"/>
      <c r="F112" s="64"/>
      <c r="G112" s="64"/>
      <c r="H112" s="64"/>
      <c r="I112" s="106"/>
      <c r="J112" s="108"/>
      <c r="K112" s="108"/>
      <c r="L112" s="108"/>
      <c r="M112" s="285"/>
    </row>
    <row r="113" spans="1:13" ht="24">
      <c r="A113" s="64"/>
      <c r="B113" s="107"/>
      <c r="C113" s="64"/>
      <c r="D113" s="108"/>
      <c r="E113" s="64"/>
      <c r="F113" s="64"/>
      <c r="G113" s="64"/>
      <c r="H113" s="64"/>
      <c r="I113" s="106"/>
      <c r="J113" s="108"/>
      <c r="K113" s="108"/>
      <c r="L113" s="108"/>
      <c r="M113" s="285"/>
    </row>
    <row r="114" spans="1:13" ht="24">
      <c r="A114" s="64"/>
      <c r="B114" s="107"/>
      <c r="C114" s="64"/>
      <c r="D114" s="108"/>
      <c r="E114" s="64"/>
      <c r="F114" s="64"/>
      <c r="G114" s="64"/>
      <c r="H114" s="64"/>
      <c r="I114" s="106"/>
      <c r="J114" s="108"/>
      <c r="K114" s="108"/>
      <c r="L114" s="108"/>
      <c r="M114" s="285"/>
    </row>
    <row r="115" spans="1:13" ht="24">
      <c r="A115" s="64"/>
      <c r="B115" s="107"/>
      <c r="C115" s="64"/>
      <c r="D115" s="108"/>
      <c r="E115" s="64"/>
      <c r="F115" s="64"/>
      <c r="G115" s="64"/>
      <c r="H115" s="64"/>
      <c r="I115" s="106"/>
      <c r="J115" s="108"/>
      <c r="K115" s="108"/>
      <c r="L115" s="108"/>
      <c r="M115" s="285"/>
    </row>
    <row r="116" spans="1:13" ht="24">
      <c r="A116" s="64"/>
      <c r="B116" s="107"/>
      <c r="C116" s="64"/>
      <c r="D116" s="108"/>
      <c r="E116" s="64"/>
      <c r="F116" s="64"/>
      <c r="G116" s="64"/>
      <c r="H116" s="64"/>
      <c r="I116" s="106"/>
      <c r="J116" s="108"/>
      <c r="K116" s="108"/>
      <c r="L116" s="108"/>
      <c r="M116" s="285"/>
    </row>
    <row r="117" spans="1:13" ht="24">
      <c r="A117" s="64"/>
      <c r="B117" s="107"/>
      <c r="C117" s="64"/>
      <c r="D117" s="108"/>
      <c r="E117" s="64"/>
      <c r="F117" s="64"/>
      <c r="G117" s="64"/>
      <c r="H117" s="64"/>
      <c r="I117" s="106"/>
      <c r="J117" s="108"/>
      <c r="K117" s="108"/>
      <c r="L117" s="108"/>
      <c r="M117" s="285"/>
    </row>
    <row r="118" spans="1:13" ht="24">
      <c r="A118" s="64"/>
      <c r="B118" s="107"/>
      <c r="C118" s="64"/>
      <c r="D118" s="108"/>
      <c r="E118" s="64"/>
      <c r="F118" s="64"/>
      <c r="G118" s="64"/>
      <c r="H118" s="64"/>
      <c r="I118" s="106"/>
      <c r="J118" s="108"/>
      <c r="K118" s="108"/>
      <c r="L118" s="108"/>
      <c r="M118" s="285"/>
    </row>
    <row r="119" spans="1:13" ht="24">
      <c r="A119" s="64"/>
      <c r="B119" s="107"/>
      <c r="C119" s="64"/>
      <c r="D119" s="108"/>
      <c r="E119" s="64"/>
      <c r="F119" s="64"/>
      <c r="G119" s="64"/>
      <c r="H119" s="64"/>
      <c r="I119" s="106"/>
      <c r="J119" s="108"/>
      <c r="K119" s="108"/>
      <c r="L119" s="108"/>
      <c r="M119" s="285"/>
    </row>
    <row r="120" spans="1:13" ht="24">
      <c r="A120" s="64"/>
      <c r="B120" s="107"/>
      <c r="C120" s="64"/>
      <c r="D120" s="108"/>
      <c r="E120" s="64"/>
      <c r="F120" s="64"/>
      <c r="G120" s="64"/>
      <c r="H120" s="64"/>
      <c r="I120" s="106"/>
      <c r="J120" s="108"/>
      <c r="K120" s="108"/>
      <c r="L120" s="108"/>
      <c r="M120" s="285"/>
    </row>
    <row r="121" spans="1:13" ht="24">
      <c r="A121" s="64"/>
      <c r="B121" s="107"/>
      <c r="C121" s="64"/>
      <c r="D121" s="108"/>
      <c r="E121" s="64"/>
      <c r="F121" s="64"/>
      <c r="G121" s="64"/>
      <c r="H121" s="64"/>
      <c r="I121" s="106"/>
      <c r="J121" s="108"/>
      <c r="K121" s="108"/>
      <c r="L121" s="108"/>
      <c r="M121" s="285"/>
    </row>
    <row r="122" spans="1:13" ht="24">
      <c r="A122" s="64"/>
      <c r="B122" s="107"/>
      <c r="C122" s="64"/>
      <c r="D122" s="108"/>
      <c r="E122" s="64"/>
      <c r="F122" s="64"/>
      <c r="G122" s="64"/>
      <c r="H122" s="64"/>
      <c r="I122" s="106"/>
      <c r="J122" s="108"/>
      <c r="K122" s="108"/>
      <c r="L122" s="108"/>
      <c r="M122" s="285"/>
    </row>
    <row r="123" spans="1:13" ht="24">
      <c r="A123" s="64"/>
      <c r="B123" s="107"/>
      <c r="C123" s="64"/>
      <c r="D123" s="108"/>
      <c r="E123" s="64"/>
      <c r="F123" s="64"/>
      <c r="G123" s="64"/>
      <c r="H123" s="64"/>
      <c r="I123" s="106"/>
      <c r="J123" s="108"/>
      <c r="K123" s="108"/>
      <c r="L123" s="108"/>
      <c r="M123" s="285"/>
    </row>
    <row r="124" spans="1:13" ht="24">
      <c r="A124" s="64"/>
      <c r="B124" s="107"/>
      <c r="C124" s="64"/>
      <c r="D124" s="108"/>
      <c r="E124" s="64"/>
      <c r="F124" s="64"/>
      <c r="G124" s="64"/>
      <c r="H124" s="64"/>
      <c r="I124" s="106"/>
      <c r="J124" s="108"/>
      <c r="K124" s="108"/>
      <c r="L124" s="108"/>
      <c r="M124" s="285"/>
    </row>
    <row r="125" spans="1:13" ht="24">
      <c r="A125" s="64"/>
      <c r="B125" s="107"/>
      <c r="C125" s="64"/>
      <c r="D125" s="108"/>
      <c r="E125" s="64"/>
      <c r="F125" s="64"/>
      <c r="G125" s="64"/>
      <c r="H125" s="64"/>
      <c r="I125" s="106"/>
      <c r="J125" s="108"/>
      <c r="K125" s="108"/>
      <c r="L125" s="108"/>
      <c r="M125" s="285"/>
    </row>
    <row r="126" spans="1:13" ht="24">
      <c r="A126" s="64"/>
      <c r="B126" s="107"/>
      <c r="C126" s="64"/>
      <c r="D126" s="108"/>
      <c r="E126" s="64"/>
      <c r="F126" s="64"/>
      <c r="G126" s="64"/>
      <c r="H126" s="64"/>
      <c r="I126" s="106"/>
      <c r="J126" s="108"/>
      <c r="K126" s="108"/>
      <c r="L126" s="108"/>
      <c r="M126" s="285"/>
    </row>
    <row r="127" spans="1:13" ht="24">
      <c r="A127" s="64"/>
      <c r="B127" s="107"/>
      <c r="C127" s="64"/>
      <c r="D127" s="108"/>
      <c r="E127" s="64"/>
      <c r="F127" s="64"/>
      <c r="G127" s="64"/>
      <c r="H127" s="64"/>
      <c r="I127" s="106"/>
      <c r="J127" s="108"/>
      <c r="K127" s="108"/>
      <c r="L127" s="108"/>
      <c r="M127" s="285"/>
    </row>
    <row r="128" spans="1:13" ht="24">
      <c r="A128" s="64"/>
      <c r="B128" s="107"/>
      <c r="C128" s="64"/>
      <c r="D128" s="108"/>
      <c r="E128" s="64"/>
      <c r="F128" s="64"/>
      <c r="G128" s="64"/>
      <c r="H128" s="64"/>
      <c r="I128" s="106"/>
      <c r="J128" s="108"/>
      <c r="K128" s="108"/>
      <c r="L128" s="108"/>
      <c r="M128" s="285"/>
    </row>
    <row r="129" spans="1:13" ht="24">
      <c r="A129" s="64"/>
      <c r="B129" s="107"/>
      <c r="C129" s="64"/>
      <c r="D129" s="108"/>
      <c r="E129" s="64"/>
      <c r="F129" s="64"/>
      <c r="G129" s="64"/>
      <c r="H129" s="64"/>
      <c r="I129" s="106"/>
      <c r="J129" s="108"/>
      <c r="K129" s="108"/>
      <c r="L129" s="108"/>
      <c r="M129" s="285"/>
    </row>
    <row r="130" spans="1:13" ht="24">
      <c r="A130" s="64"/>
      <c r="B130" s="107"/>
      <c r="C130" s="64"/>
      <c r="D130" s="108"/>
      <c r="E130" s="64"/>
      <c r="F130" s="64"/>
      <c r="G130" s="64"/>
      <c r="H130" s="64"/>
      <c r="I130" s="106"/>
      <c r="J130" s="108"/>
      <c r="K130" s="108"/>
      <c r="L130" s="108"/>
      <c r="M130" s="285"/>
    </row>
    <row r="131" spans="1:13" ht="24">
      <c r="A131" s="64"/>
      <c r="B131" s="107"/>
      <c r="C131" s="64"/>
      <c r="D131" s="108"/>
      <c r="E131" s="64"/>
      <c r="F131" s="64"/>
      <c r="G131" s="64"/>
      <c r="H131" s="64"/>
      <c r="I131" s="106"/>
      <c r="J131" s="108"/>
      <c r="K131" s="108"/>
      <c r="L131" s="108"/>
      <c r="M131" s="285"/>
    </row>
    <row r="132" spans="1:13" ht="24">
      <c r="A132" s="64"/>
      <c r="B132" s="107"/>
      <c r="C132" s="64"/>
      <c r="D132" s="108"/>
      <c r="E132" s="64"/>
      <c r="F132" s="64"/>
      <c r="G132" s="64"/>
      <c r="H132" s="64"/>
      <c r="I132" s="106"/>
      <c r="J132" s="108"/>
      <c r="K132" s="108"/>
      <c r="L132" s="108"/>
      <c r="M132" s="285"/>
    </row>
    <row r="133" spans="1:13" ht="24">
      <c r="A133" s="64"/>
      <c r="B133" s="107"/>
      <c r="C133" s="64"/>
      <c r="D133" s="108"/>
      <c r="E133" s="64"/>
      <c r="F133" s="64"/>
      <c r="G133" s="64"/>
      <c r="H133" s="64"/>
      <c r="I133" s="106"/>
      <c r="J133" s="108"/>
      <c r="K133" s="108"/>
      <c r="L133" s="108"/>
      <c r="M133" s="285"/>
    </row>
    <row r="134" spans="1:13" ht="24">
      <c r="A134" s="64"/>
      <c r="B134" s="107"/>
      <c r="C134" s="64"/>
      <c r="D134" s="108"/>
      <c r="E134" s="64"/>
      <c r="F134" s="64"/>
      <c r="G134" s="64"/>
      <c r="H134" s="64"/>
      <c r="I134" s="106"/>
      <c r="J134" s="108"/>
      <c r="K134" s="108"/>
      <c r="L134" s="108"/>
      <c r="M134" s="285"/>
    </row>
    <row r="135" spans="1:13" ht="24">
      <c r="A135" s="64"/>
      <c r="B135" s="107"/>
      <c r="C135" s="64"/>
      <c r="D135" s="108"/>
      <c r="E135" s="64"/>
      <c r="F135" s="64"/>
      <c r="G135" s="64"/>
      <c r="H135" s="64"/>
      <c r="I135" s="106"/>
      <c r="J135" s="108"/>
      <c r="K135" s="108"/>
      <c r="L135" s="108"/>
      <c r="M135" s="285"/>
    </row>
    <row r="136" spans="1:13" ht="24">
      <c r="A136" s="64"/>
      <c r="B136" s="107"/>
      <c r="C136" s="64"/>
      <c r="D136" s="108"/>
      <c r="E136" s="64"/>
      <c r="F136" s="64"/>
      <c r="G136" s="64"/>
      <c r="H136" s="64"/>
      <c r="I136" s="106"/>
      <c r="J136" s="108"/>
      <c r="K136" s="108"/>
      <c r="L136" s="108"/>
      <c r="M136" s="285"/>
    </row>
    <row r="137" spans="1:13" ht="24">
      <c r="A137" s="64"/>
      <c r="B137" s="107"/>
      <c r="C137" s="64"/>
      <c r="D137" s="108"/>
      <c r="E137" s="64"/>
      <c r="F137" s="64"/>
      <c r="G137" s="64"/>
      <c r="H137" s="64"/>
      <c r="I137" s="106"/>
      <c r="J137" s="108"/>
      <c r="K137" s="108"/>
      <c r="L137" s="108"/>
      <c r="M137" s="285"/>
    </row>
    <row r="138" spans="1:13" ht="24">
      <c r="A138" s="64"/>
      <c r="B138" s="107"/>
      <c r="C138" s="64"/>
      <c r="D138" s="108"/>
      <c r="E138" s="64"/>
      <c r="F138" s="64"/>
      <c r="G138" s="64"/>
      <c r="H138" s="64"/>
      <c r="I138" s="106"/>
      <c r="J138" s="108"/>
      <c r="K138" s="108"/>
      <c r="L138" s="108"/>
      <c r="M138" s="285"/>
    </row>
    <row r="139" spans="1:13" ht="24">
      <c r="A139" s="64"/>
      <c r="B139" s="107"/>
      <c r="C139" s="64"/>
      <c r="D139" s="108"/>
      <c r="E139" s="64"/>
      <c r="F139" s="64"/>
      <c r="G139" s="64"/>
      <c r="H139" s="64"/>
      <c r="I139" s="106"/>
      <c r="J139" s="108"/>
      <c r="K139" s="108"/>
      <c r="L139" s="108"/>
      <c r="M139" s="285"/>
    </row>
    <row r="140" spans="1:13" ht="24">
      <c r="A140" s="64"/>
      <c r="B140" s="107"/>
      <c r="C140" s="64"/>
      <c r="D140" s="108"/>
      <c r="E140" s="64"/>
      <c r="F140" s="64"/>
      <c r="G140" s="64"/>
      <c r="H140" s="64"/>
      <c r="I140" s="106"/>
      <c r="J140" s="108"/>
      <c r="K140" s="108"/>
      <c r="L140" s="108"/>
      <c r="M140" s="285"/>
    </row>
    <row r="141" spans="1:13" ht="24">
      <c r="A141" s="64"/>
      <c r="B141" s="107"/>
      <c r="C141" s="64"/>
      <c r="D141" s="108"/>
      <c r="E141" s="64"/>
      <c r="F141" s="64"/>
      <c r="G141" s="64"/>
      <c r="H141" s="64"/>
      <c r="I141" s="106"/>
      <c r="J141" s="108"/>
      <c r="K141" s="108"/>
      <c r="L141" s="108"/>
      <c r="M141" s="285"/>
    </row>
    <row r="142" spans="1:13" ht="24">
      <c r="A142" s="64"/>
      <c r="B142" s="107"/>
      <c r="C142" s="64"/>
      <c r="D142" s="108"/>
      <c r="E142" s="64"/>
      <c r="F142" s="64"/>
      <c r="G142" s="64"/>
      <c r="H142" s="64"/>
      <c r="I142" s="106"/>
      <c r="J142" s="108"/>
      <c r="K142" s="108"/>
      <c r="L142" s="108"/>
      <c r="M142" s="285"/>
    </row>
    <row r="143" spans="1:13" ht="24">
      <c r="A143" s="64"/>
      <c r="B143" s="107"/>
      <c r="C143" s="64"/>
      <c r="D143" s="108"/>
      <c r="E143" s="64"/>
      <c r="F143" s="64"/>
      <c r="G143" s="64"/>
      <c r="H143" s="64"/>
      <c r="I143" s="106"/>
      <c r="J143" s="108"/>
      <c r="K143" s="108"/>
      <c r="L143" s="108"/>
      <c r="M143" s="285"/>
    </row>
    <row r="144" spans="1:13" ht="24">
      <c r="A144" s="64"/>
      <c r="B144" s="107"/>
      <c r="C144" s="64"/>
      <c r="D144" s="108"/>
      <c r="E144" s="64"/>
      <c r="F144" s="64"/>
      <c r="G144" s="64"/>
      <c r="H144" s="64"/>
      <c r="I144" s="106"/>
      <c r="J144" s="108"/>
      <c r="K144" s="108"/>
      <c r="L144" s="108"/>
      <c r="M144" s="285"/>
    </row>
    <row r="145" spans="1:13" ht="24">
      <c r="A145" s="64"/>
      <c r="B145" s="107"/>
      <c r="C145" s="64"/>
      <c r="D145" s="108"/>
      <c r="E145" s="64"/>
      <c r="F145" s="64"/>
      <c r="G145" s="64"/>
      <c r="H145" s="64"/>
      <c r="I145" s="106"/>
      <c r="J145" s="108"/>
      <c r="K145" s="108"/>
      <c r="L145" s="108"/>
      <c r="M145" s="285"/>
    </row>
    <row r="146" spans="1:13" ht="24">
      <c r="A146" s="64"/>
      <c r="B146" s="107"/>
      <c r="C146" s="64"/>
      <c r="D146" s="108"/>
      <c r="E146" s="64"/>
      <c r="F146" s="64"/>
      <c r="G146" s="64"/>
      <c r="H146" s="64"/>
      <c r="I146" s="106"/>
      <c r="J146" s="108"/>
      <c r="K146" s="108"/>
      <c r="L146" s="108"/>
      <c r="M146" s="285"/>
    </row>
    <row r="147" spans="1:13" ht="24">
      <c r="A147" s="64"/>
      <c r="B147" s="107"/>
      <c r="C147" s="64"/>
      <c r="D147" s="108"/>
      <c r="E147" s="64"/>
      <c r="F147" s="64"/>
      <c r="G147" s="64"/>
      <c r="H147" s="64"/>
      <c r="I147" s="106"/>
      <c r="J147" s="108"/>
      <c r="K147" s="108"/>
      <c r="L147" s="108"/>
      <c r="M147" s="285"/>
    </row>
    <row r="148" spans="1:13" ht="24">
      <c r="A148" s="64"/>
      <c r="B148" s="107"/>
      <c r="C148" s="64"/>
      <c r="D148" s="108"/>
      <c r="E148" s="64"/>
      <c r="F148" s="64"/>
      <c r="G148" s="64"/>
      <c r="H148" s="64"/>
      <c r="I148" s="106"/>
      <c r="J148" s="108"/>
      <c r="K148" s="108"/>
      <c r="L148" s="108"/>
      <c r="M148" s="285"/>
    </row>
    <row r="149" spans="1:13" ht="24">
      <c r="A149" s="64"/>
      <c r="B149" s="107"/>
      <c r="C149" s="64"/>
      <c r="D149" s="108"/>
      <c r="E149" s="64"/>
      <c r="F149" s="64"/>
      <c r="G149" s="64"/>
      <c r="H149" s="64"/>
      <c r="I149" s="106"/>
      <c r="J149" s="108"/>
      <c r="K149" s="108"/>
      <c r="L149" s="108"/>
      <c r="M149" s="285"/>
    </row>
    <row r="150" spans="1:13" ht="24">
      <c r="A150" s="64"/>
      <c r="B150" s="107"/>
      <c r="C150" s="64"/>
      <c r="D150" s="108"/>
      <c r="E150" s="64"/>
      <c r="F150" s="64"/>
      <c r="G150" s="64"/>
      <c r="H150" s="64"/>
      <c r="I150" s="106"/>
      <c r="J150" s="108"/>
      <c r="K150" s="108"/>
      <c r="L150" s="108"/>
      <c r="M150" s="285"/>
    </row>
    <row r="151" spans="1:13" ht="24">
      <c r="A151" s="64"/>
      <c r="B151" s="107"/>
      <c r="C151" s="64"/>
      <c r="D151" s="108"/>
      <c r="E151" s="64"/>
      <c r="F151" s="64"/>
      <c r="G151" s="64"/>
      <c r="H151" s="64"/>
      <c r="I151" s="106"/>
      <c r="J151" s="108"/>
      <c r="K151" s="108"/>
      <c r="L151" s="108"/>
      <c r="M151" s="285"/>
    </row>
    <row r="152" spans="1:13" ht="24">
      <c r="A152" s="64"/>
      <c r="B152" s="107"/>
      <c r="C152" s="64"/>
      <c r="D152" s="108"/>
      <c r="E152" s="64"/>
      <c r="F152" s="64"/>
      <c r="G152" s="64"/>
      <c r="H152" s="64"/>
      <c r="I152" s="106"/>
      <c r="J152" s="108"/>
      <c r="K152" s="108"/>
      <c r="L152" s="108"/>
      <c r="M152" s="285"/>
    </row>
    <row r="153" spans="1:13" ht="24">
      <c r="A153" s="64"/>
      <c r="B153" s="107"/>
      <c r="C153" s="64"/>
      <c r="D153" s="108"/>
      <c r="E153" s="64"/>
      <c r="F153" s="64"/>
      <c r="G153" s="64"/>
      <c r="H153" s="64"/>
      <c r="I153" s="106"/>
      <c r="J153" s="108"/>
      <c r="K153" s="108"/>
      <c r="L153" s="108"/>
      <c r="M153" s="285"/>
    </row>
    <row r="154" spans="1:13" ht="24">
      <c r="A154" s="64"/>
      <c r="B154" s="107"/>
      <c r="C154" s="64"/>
      <c r="D154" s="108"/>
      <c r="E154" s="64"/>
      <c r="F154" s="64"/>
      <c r="G154" s="64"/>
      <c r="H154" s="64"/>
      <c r="I154" s="106"/>
      <c r="J154" s="108"/>
      <c r="K154" s="108"/>
      <c r="L154" s="108"/>
      <c r="M154" s="285"/>
    </row>
    <row r="155" spans="1:13" ht="24">
      <c r="A155" s="64"/>
      <c r="B155" s="107"/>
      <c r="C155" s="64"/>
      <c r="D155" s="108"/>
      <c r="E155" s="64"/>
      <c r="F155" s="64"/>
      <c r="G155" s="64"/>
      <c r="H155" s="64"/>
      <c r="I155" s="106"/>
      <c r="J155" s="108"/>
      <c r="K155" s="108"/>
      <c r="L155" s="108"/>
      <c r="M155" s="285"/>
    </row>
    <row r="156" spans="1:13" ht="24">
      <c r="A156" s="64"/>
      <c r="B156" s="107"/>
      <c r="C156" s="64"/>
      <c r="D156" s="108"/>
      <c r="E156" s="64"/>
      <c r="F156" s="64"/>
      <c r="G156" s="64"/>
      <c r="H156" s="64"/>
      <c r="I156" s="106"/>
      <c r="J156" s="108"/>
      <c r="K156" s="108"/>
      <c r="L156" s="108"/>
      <c r="M156" s="285"/>
    </row>
    <row r="157" spans="1:13" ht="24">
      <c r="A157" s="64"/>
      <c r="B157" s="107"/>
      <c r="C157" s="64"/>
      <c r="D157" s="108"/>
      <c r="E157" s="64"/>
      <c r="F157" s="64"/>
      <c r="G157" s="64"/>
      <c r="H157" s="64"/>
      <c r="I157" s="106"/>
      <c r="J157" s="108"/>
      <c r="K157" s="108"/>
      <c r="L157" s="108"/>
      <c r="M157" s="285"/>
    </row>
    <row r="158" spans="1:13" ht="24">
      <c r="A158" s="64"/>
      <c r="B158" s="107"/>
      <c r="C158" s="64"/>
      <c r="D158" s="108"/>
      <c r="E158" s="64"/>
      <c r="F158" s="64"/>
      <c r="G158" s="64"/>
      <c r="H158" s="64"/>
      <c r="I158" s="106"/>
      <c r="J158" s="108"/>
      <c r="K158" s="108"/>
      <c r="L158" s="108"/>
      <c r="M158" s="285"/>
    </row>
    <row r="159" spans="1:13" ht="24">
      <c r="A159" s="64"/>
      <c r="B159" s="107"/>
      <c r="C159" s="64"/>
      <c r="D159" s="108"/>
      <c r="E159" s="64"/>
      <c r="F159" s="64"/>
      <c r="G159" s="64"/>
      <c r="H159" s="64"/>
      <c r="I159" s="106"/>
      <c r="J159" s="108"/>
      <c r="K159" s="108"/>
      <c r="L159" s="108"/>
      <c r="M159" s="285"/>
    </row>
    <row r="160" spans="1:13" ht="24">
      <c r="A160" s="64"/>
      <c r="B160" s="107"/>
      <c r="C160" s="64"/>
      <c r="D160" s="108"/>
      <c r="E160" s="64"/>
      <c r="F160" s="64"/>
      <c r="G160" s="64"/>
      <c r="H160" s="64"/>
      <c r="I160" s="106"/>
      <c r="J160" s="108"/>
      <c r="K160" s="108"/>
      <c r="L160" s="108"/>
      <c r="M160" s="285"/>
    </row>
    <row r="161" spans="1:13" ht="24">
      <c r="A161" s="64"/>
      <c r="B161" s="107"/>
      <c r="C161" s="64"/>
      <c r="D161" s="108"/>
      <c r="E161" s="64"/>
      <c r="F161" s="64"/>
      <c r="G161" s="64"/>
      <c r="H161" s="64"/>
      <c r="I161" s="106"/>
      <c r="J161" s="108"/>
      <c r="K161" s="108"/>
      <c r="L161" s="108"/>
      <c r="M161" s="285"/>
    </row>
    <row r="162" spans="1:13" ht="24">
      <c r="A162" s="64"/>
      <c r="B162" s="107"/>
      <c r="C162" s="64"/>
      <c r="D162" s="108"/>
      <c r="E162" s="64"/>
      <c r="F162" s="64"/>
      <c r="G162" s="64"/>
      <c r="H162" s="64"/>
      <c r="I162" s="106"/>
      <c r="J162" s="108"/>
      <c r="K162" s="108"/>
      <c r="L162" s="108"/>
      <c r="M162" s="285"/>
    </row>
    <row r="163" spans="1:13" ht="24">
      <c r="A163" s="64"/>
      <c r="B163" s="107"/>
      <c r="C163" s="64"/>
      <c r="D163" s="108"/>
      <c r="E163" s="64"/>
      <c r="F163" s="64"/>
      <c r="G163" s="64"/>
      <c r="H163" s="64"/>
      <c r="I163" s="106"/>
      <c r="J163" s="108"/>
      <c r="K163" s="108"/>
      <c r="L163" s="108"/>
      <c r="M163" s="285"/>
    </row>
    <row r="164" spans="1:13" ht="24">
      <c r="A164" s="64"/>
      <c r="B164" s="107"/>
      <c r="C164" s="64"/>
      <c r="D164" s="108"/>
      <c r="E164" s="64"/>
      <c r="F164" s="64"/>
      <c r="G164" s="64"/>
      <c r="H164" s="64"/>
      <c r="I164" s="106"/>
      <c r="J164" s="108"/>
      <c r="K164" s="108"/>
      <c r="L164" s="108"/>
      <c r="M164" s="285"/>
    </row>
    <row r="165" spans="1:13" ht="24">
      <c r="A165" s="64"/>
      <c r="B165" s="107"/>
      <c r="C165" s="64"/>
      <c r="D165" s="108"/>
      <c r="E165" s="64"/>
      <c r="F165" s="64"/>
      <c r="G165" s="64"/>
      <c r="H165" s="64"/>
      <c r="I165" s="106"/>
      <c r="J165" s="108"/>
      <c r="K165" s="108"/>
      <c r="L165" s="108"/>
      <c r="M165" s="285"/>
    </row>
    <row r="166" spans="1:13" ht="24">
      <c r="A166" s="64"/>
      <c r="B166" s="107"/>
      <c r="C166" s="64"/>
      <c r="D166" s="108"/>
      <c r="E166" s="64"/>
      <c r="F166" s="64"/>
      <c r="G166" s="64"/>
      <c r="H166" s="64"/>
      <c r="I166" s="106"/>
      <c r="J166" s="108"/>
      <c r="K166" s="108"/>
      <c r="L166" s="108"/>
      <c r="M166" s="285"/>
    </row>
    <row r="167" spans="1:13" ht="24">
      <c r="A167" s="64"/>
      <c r="B167" s="107"/>
      <c r="C167" s="64"/>
      <c r="D167" s="108"/>
      <c r="E167" s="64"/>
      <c r="F167" s="64"/>
      <c r="G167" s="64"/>
      <c r="H167" s="64"/>
      <c r="I167" s="106"/>
      <c r="J167" s="108"/>
      <c r="K167" s="108"/>
      <c r="L167" s="108"/>
      <c r="M167" s="285"/>
    </row>
    <row r="168" spans="1:13" ht="24">
      <c r="A168" s="64"/>
      <c r="B168" s="107"/>
      <c r="C168" s="64"/>
      <c r="D168" s="108"/>
      <c r="E168" s="64"/>
      <c r="F168" s="64"/>
      <c r="G168" s="64"/>
      <c r="H168" s="64"/>
      <c r="I168" s="106"/>
      <c r="J168" s="108"/>
      <c r="K168" s="108"/>
      <c r="L168" s="108"/>
      <c r="M168" s="285"/>
    </row>
    <row r="169" spans="1:13" ht="24">
      <c r="A169" s="64"/>
      <c r="B169" s="107"/>
      <c r="C169" s="64"/>
      <c r="D169" s="108"/>
      <c r="E169" s="64"/>
      <c r="F169" s="64"/>
      <c r="G169" s="64"/>
      <c r="H169" s="64"/>
      <c r="I169" s="106"/>
      <c r="J169" s="108"/>
      <c r="K169" s="108"/>
      <c r="L169" s="108"/>
      <c r="M169" s="285"/>
    </row>
    <row r="170" spans="1:13" ht="24">
      <c r="A170" s="64"/>
      <c r="B170" s="107"/>
      <c r="C170" s="64"/>
      <c r="D170" s="108"/>
      <c r="E170" s="64"/>
      <c r="F170" s="64"/>
      <c r="G170" s="64"/>
      <c r="H170" s="64"/>
      <c r="I170" s="106"/>
      <c r="J170" s="108"/>
      <c r="K170" s="108"/>
      <c r="L170" s="108"/>
      <c r="M170" s="285"/>
    </row>
    <row r="171" spans="1:13" ht="24">
      <c r="A171" s="64"/>
      <c r="B171" s="107"/>
      <c r="C171" s="64"/>
      <c r="D171" s="108"/>
      <c r="E171" s="64"/>
      <c r="F171" s="64"/>
      <c r="G171" s="64"/>
      <c r="H171" s="64"/>
      <c r="I171" s="106"/>
      <c r="J171" s="108"/>
      <c r="K171" s="108"/>
      <c r="L171" s="108"/>
      <c r="M171" s="285"/>
    </row>
    <row r="172" spans="1:13" ht="24">
      <c r="A172" s="64"/>
      <c r="B172" s="107"/>
      <c r="C172" s="64"/>
      <c r="D172" s="108"/>
      <c r="E172" s="64"/>
      <c r="F172" s="64"/>
      <c r="G172" s="64"/>
      <c r="H172" s="64"/>
      <c r="I172" s="106"/>
      <c r="J172" s="108"/>
      <c r="K172" s="108"/>
      <c r="L172" s="108"/>
      <c r="M172" s="285"/>
    </row>
    <row r="173" spans="1:13" ht="24">
      <c r="A173" s="64"/>
      <c r="B173" s="107"/>
      <c r="C173" s="64"/>
      <c r="D173" s="108"/>
      <c r="E173" s="64"/>
      <c r="F173" s="64"/>
      <c r="G173" s="64"/>
      <c r="H173" s="64"/>
      <c r="I173" s="106"/>
      <c r="J173" s="108"/>
      <c r="K173" s="108"/>
      <c r="L173" s="108"/>
      <c r="M173" s="285"/>
    </row>
    <row r="174" spans="1:13" ht="24">
      <c r="A174" s="64"/>
      <c r="B174" s="107"/>
      <c r="C174" s="64"/>
      <c r="D174" s="108"/>
      <c r="E174" s="64"/>
      <c r="F174" s="64"/>
      <c r="G174" s="64"/>
      <c r="H174" s="64"/>
      <c r="I174" s="106"/>
      <c r="J174" s="108"/>
      <c r="K174" s="108"/>
      <c r="L174" s="108"/>
      <c r="M174" s="285"/>
    </row>
    <row r="175" spans="1:13" ht="24">
      <c r="A175" s="64"/>
      <c r="B175" s="107"/>
      <c r="C175" s="64"/>
      <c r="D175" s="108"/>
      <c r="E175" s="64"/>
      <c r="F175" s="64"/>
      <c r="G175" s="64"/>
      <c r="H175" s="64"/>
      <c r="I175" s="106"/>
      <c r="J175" s="108"/>
      <c r="K175" s="108"/>
      <c r="L175" s="108"/>
      <c r="M175" s="285"/>
    </row>
    <row r="176" spans="1:13" ht="24">
      <c r="A176" s="64"/>
      <c r="B176" s="107"/>
      <c r="C176" s="64"/>
      <c r="D176" s="108"/>
      <c r="E176" s="64"/>
      <c r="F176" s="64"/>
      <c r="G176" s="64"/>
      <c r="H176" s="64"/>
      <c r="I176" s="106"/>
      <c r="J176" s="108"/>
      <c r="K176" s="108"/>
      <c r="L176" s="108"/>
      <c r="M176" s="285"/>
    </row>
    <row r="177" spans="1:13" ht="24">
      <c r="A177" s="64"/>
      <c r="B177" s="107"/>
      <c r="C177" s="64"/>
      <c r="D177" s="108"/>
      <c r="E177" s="64"/>
      <c r="F177" s="64"/>
      <c r="G177" s="64"/>
      <c r="H177" s="64"/>
      <c r="I177" s="106"/>
      <c r="J177" s="108"/>
      <c r="K177" s="108"/>
      <c r="L177" s="108"/>
      <c r="M177" s="285"/>
    </row>
    <row r="178" spans="1:13" ht="24">
      <c r="A178" s="64"/>
      <c r="B178" s="107"/>
      <c r="C178" s="64"/>
      <c r="D178" s="108"/>
      <c r="E178" s="64"/>
      <c r="F178" s="64"/>
      <c r="G178" s="64"/>
      <c r="H178" s="64"/>
      <c r="I178" s="106"/>
      <c r="J178" s="108"/>
      <c r="K178" s="108"/>
      <c r="L178" s="108"/>
      <c r="M178" s="285"/>
    </row>
    <row r="179" spans="1:13" ht="24">
      <c r="A179" s="64"/>
      <c r="B179" s="107"/>
      <c r="C179" s="64"/>
      <c r="D179" s="108"/>
      <c r="E179" s="64"/>
      <c r="F179" s="64"/>
      <c r="G179" s="64"/>
      <c r="H179" s="64"/>
      <c r="I179" s="106"/>
      <c r="J179" s="108"/>
      <c r="K179" s="108"/>
      <c r="L179" s="108"/>
      <c r="M179" s="285"/>
    </row>
    <row r="180" spans="1:13" ht="24">
      <c r="A180" s="64"/>
      <c r="B180" s="107"/>
      <c r="C180" s="64"/>
      <c r="D180" s="108"/>
      <c r="E180" s="64"/>
      <c r="F180" s="64"/>
      <c r="G180" s="64"/>
      <c r="H180" s="64"/>
      <c r="I180" s="106"/>
      <c r="J180" s="108"/>
      <c r="K180" s="108"/>
      <c r="L180" s="108"/>
      <c r="M180" s="285"/>
    </row>
    <row r="181" spans="1:13" ht="24">
      <c r="A181" s="64"/>
      <c r="B181" s="107"/>
      <c r="C181" s="64"/>
      <c r="D181" s="108"/>
      <c r="E181" s="64"/>
      <c r="F181" s="64"/>
      <c r="G181" s="64"/>
      <c r="H181" s="64"/>
      <c r="I181" s="106"/>
      <c r="J181" s="108"/>
      <c r="K181" s="108"/>
      <c r="L181" s="108"/>
      <c r="M181" s="285"/>
    </row>
    <row r="182" spans="1:13" ht="24">
      <c r="A182" s="64"/>
      <c r="B182" s="107"/>
      <c r="C182" s="64"/>
      <c r="D182" s="108"/>
      <c r="E182" s="64"/>
      <c r="F182" s="64"/>
      <c r="G182" s="64"/>
      <c r="H182" s="64"/>
      <c r="I182" s="106"/>
      <c r="J182" s="108"/>
      <c r="K182" s="108"/>
      <c r="L182" s="108"/>
      <c r="M182" s="285"/>
    </row>
    <row r="183" spans="1:13" ht="24">
      <c r="A183" s="64"/>
      <c r="B183" s="107"/>
      <c r="C183" s="64"/>
      <c r="D183" s="108"/>
      <c r="E183" s="64"/>
      <c r="F183" s="64"/>
      <c r="G183" s="64"/>
      <c r="H183" s="64"/>
      <c r="I183" s="106"/>
      <c r="J183" s="108"/>
      <c r="K183" s="108"/>
      <c r="L183" s="108"/>
      <c r="M183" s="285"/>
    </row>
    <row r="184" spans="1:13" ht="24">
      <c r="A184" s="64"/>
      <c r="B184" s="107"/>
      <c r="C184" s="64"/>
      <c r="D184" s="108"/>
      <c r="E184" s="64"/>
      <c r="F184" s="64"/>
      <c r="G184" s="64"/>
      <c r="H184" s="64"/>
      <c r="I184" s="106"/>
      <c r="J184" s="108"/>
      <c r="K184" s="108"/>
      <c r="L184" s="108"/>
      <c r="M184" s="285"/>
    </row>
    <row r="185" spans="1:13" ht="24">
      <c r="A185" s="64"/>
      <c r="B185" s="107"/>
      <c r="C185" s="64"/>
      <c r="D185" s="108"/>
      <c r="E185" s="64"/>
      <c r="F185" s="64"/>
      <c r="G185" s="64"/>
      <c r="H185" s="64"/>
      <c r="I185" s="106"/>
      <c r="J185" s="108"/>
      <c r="K185" s="108"/>
      <c r="L185" s="108"/>
      <c r="M185" s="285"/>
    </row>
    <row r="186" spans="1:13" ht="24">
      <c r="A186" s="64"/>
      <c r="B186" s="107"/>
      <c r="C186" s="64"/>
      <c r="D186" s="108"/>
      <c r="E186" s="64"/>
      <c r="F186" s="64"/>
      <c r="G186" s="64"/>
      <c r="H186" s="64"/>
      <c r="I186" s="106"/>
      <c r="J186" s="108"/>
      <c r="K186" s="108"/>
      <c r="L186" s="108"/>
      <c r="M186" s="285"/>
    </row>
    <row r="187" spans="1:13" ht="24">
      <c r="A187" s="64"/>
      <c r="B187" s="107"/>
      <c r="C187" s="64"/>
      <c r="D187" s="108"/>
      <c r="E187" s="64"/>
      <c r="F187" s="64"/>
      <c r="G187" s="64"/>
      <c r="H187" s="64"/>
      <c r="I187" s="106"/>
      <c r="J187" s="108"/>
      <c r="K187" s="108"/>
      <c r="L187" s="108"/>
      <c r="M187" s="285"/>
    </row>
    <row r="188" spans="1:13" ht="24">
      <c r="A188" s="64"/>
      <c r="B188" s="107"/>
      <c r="C188" s="64"/>
      <c r="D188" s="108"/>
      <c r="E188" s="64"/>
      <c r="F188" s="64"/>
      <c r="G188" s="64"/>
      <c r="H188" s="64"/>
      <c r="I188" s="106"/>
      <c r="J188" s="108"/>
      <c r="K188" s="108"/>
      <c r="L188" s="108"/>
      <c r="M188" s="285"/>
    </row>
    <row r="189" spans="1:13" ht="24">
      <c r="A189" s="64"/>
      <c r="B189" s="107"/>
      <c r="C189" s="64"/>
      <c r="D189" s="108"/>
      <c r="E189" s="64"/>
      <c r="F189" s="64"/>
      <c r="G189" s="64"/>
      <c r="H189" s="64"/>
      <c r="I189" s="106"/>
      <c r="J189" s="108"/>
      <c r="K189" s="108"/>
      <c r="L189" s="108"/>
      <c r="M189" s="285"/>
    </row>
    <row r="190" spans="1:13" ht="24">
      <c r="A190" s="64"/>
      <c r="B190" s="107"/>
      <c r="C190" s="64"/>
      <c r="D190" s="108"/>
      <c r="E190" s="64"/>
      <c r="F190" s="64"/>
      <c r="G190" s="64"/>
      <c r="H190" s="64"/>
      <c r="I190" s="106"/>
      <c r="J190" s="108"/>
      <c r="K190" s="108"/>
      <c r="L190" s="108"/>
      <c r="M190" s="285"/>
    </row>
    <row r="191" spans="1:13" ht="24">
      <c r="A191" s="64"/>
      <c r="B191" s="107"/>
      <c r="C191" s="64"/>
      <c r="D191" s="108"/>
      <c r="E191" s="64"/>
      <c r="F191" s="64"/>
      <c r="G191" s="64"/>
      <c r="H191" s="64"/>
      <c r="I191" s="106"/>
      <c r="J191" s="108"/>
      <c r="K191" s="108"/>
      <c r="L191" s="108"/>
      <c r="M191" s="285"/>
    </row>
    <row r="192" spans="1:13" ht="24">
      <c r="A192" s="64"/>
      <c r="B192" s="107"/>
      <c r="C192" s="64"/>
      <c r="D192" s="108"/>
      <c r="E192" s="64"/>
      <c r="F192" s="64"/>
      <c r="G192" s="64"/>
      <c r="H192" s="64"/>
      <c r="I192" s="106"/>
      <c r="J192" s="108"/>
      <c r="K192" s="108"/>
      <c r="L192" s="108"/>
      <c r="M192" s="285"/>
    </row>
    <row r="193" spans="1:13" ht="24">
      <c r="A193" s="64"/>
      <c r="B193" s="107"/>
      <c r="C193" s="64"/>
      <c r="D193" s="108"/>
      <c r="E193" s="64"/>
      <c r="F193" s="64"/>
      <c r="G193" s="64"/>
      <c r="H193" s="64"/>
      <c r="I193" s="106"/>
      <c r="J193" s="108"/>
      <c r="K193" s="108"/>
      <c r="L193" s="108"/>
      <c r="M193" s="285"/>
    </row>
    <row r="194" spans="1:13" ht="24">
      <c r="A194" s="64"/>
      <c r="B194" s="107"/>
      <c r="C194" s="64"/>
      <c r="D194" s="108"/>
      <c r="E194" s="64"/>
      <c r="F194" s="64"/>
      <c r="G194" s="64"/>
      <c r="H194" s="64"/>
      <c r="I194" s="106"/>
      <c r="J194" s="108"/>
      <c r="K194" s="108"/>
      <c r="L194" s="108"/>
      <c r="M194" s="285"/>
    </row>
    <row r="195" spans="1:13" ht="24">
      <c r="A195" s="64"/>
      <c r="B195" s="107"/>
      <c r="C195" s="64"/>
      <c r="D195" s="108"/>
      <c r="E195" s="64"/>
      <c r="F195" s="64"/>
      <c r="G195" s="64"/>
      <c r="H195" s="64"/>
      <c r="I195" s="106"/>
      <c r="J195" s="108"/>
      <c r="K195" s="108"/>
      <c r="L195" s="108"/>
      <c r="M195" s="285"/>
    </row>
    <row r="196" spans="1:13" ht="24">
      <c r="A196" s="64"/>
      <c r="B196" s="107"/>
      <c r="C196" s="64"/>
      <c r="D196" s="108"/>
      <c r="E196" s="64"/>
      <c r="F196" s="64"/>
      <c r="G196" s="64"/>
      <c r="H196" s="64"/>
      <c r="I196" s="106"/>
      <c r="J196" s="108"/>
      <c r="K196" s="108"/>
      <c r="L196" s="108"/>
      <c r="M196" s="285"/>
    </row>
    <row r="197" spans="1:13" ht="24">
      <c r="A197" s="64"/>
      <c r="B197" s="107"/>
      <c r="C197" s="64"/>
      <c r="D197" s="108"/>
      <c r="E197" s="64"/>
      <c r="F197" s="64"/>
      <c r="G197" s="64"/>
      <c r="H197" s="64"/>
      <c r="I197" s="106"/>
      <c r="J197" s="108"/>
      <c r="K197" s="108"/>
      <c r="L197" s="108"/>
      <c r="M197" s="285"/>
    </row>
    <row r="198" spans="1:13" ht="24">
      <c r="A198" s="64"/>
      <c r="B198" s="107"/>
      <c r="C198" s="64"/>
      <c r="D198" s="108"/>
      <c r="E198" s="64"/>
      <c r="F198" s="64"/>
      <c r="G198" s="64"/>
      <c r="H198" s="64"/>
      <c r="I198" s="106"/>
      <c r="J198" s="108"/>
      <c r="K198" s="108"/>
      <c r="L198" s="108"/>
      <c r="M198" s="285"/>
    </row>
    <row r="199" spans="1:13" ht="24">
      <c r="A199" s="64"/>
      <c r="B199" s="107"/>
      <c r="C199" s="64"/>
      <c r="D199" s="108"/>
      <c r="E199" s="64"/>
      <c r="F199" s="64"/>
      <c r="G199" s="64"/>
      <c r="H199" s="64"/>
      <c r="I199" s="106"/>
      <c r="J199" s="108"/>
      <c r="K199" s="108"/>
      <c r="L199" s="108"/>
      <c r="M199" s="285"/>
    </row>
    <row r="200" spans="1:13" ht="24">
      <c r="A200" s="64"/>
      <c r="B200" s="107"/>
      <c r="C200" s="64"/>
      <c r="D200" s="108"/>
      <c r="E200" s="64"/>
      <c r="F200" s="64"/>
      <c r="G200" s="64"/>
      <c r="H200" s="64"/>
      <c r="I200" s="106"/>
      <c r="J200" s="108"/>
      <c r="K200" s="108"/>
      <c r="L200" s="108"/>
      <c r="M200" s="285"/>
    </row>
    <row r="201" spans="1:13" ht="24">
      <c r="A201" s="64"/>
      <c r="B201" s="107"/>
      <c r="C201" s="64"/>
      <c r="D201" s="108"/>
      <c r="E201" s="64"/>
      <c r="F201" s="64"/>
      <c r="G201" s="64"/>
      <c r="H201" s="64"/>
      <c r="I201" s="106"/>
      <c r="J201" s="108"/>
      <c r="K201" s="108"/>
      <c r="L201" s="108"/>
      <c r="M201" s="285"/>
    </row>
    <row r="202" spans="1:13" ht="24">
      <c r="A202" s="64"/>
      <c r="B202" s="107"/>
      <c r="C202" s="64"/>
      <c r="D202" s="108"/>
      <c r="E202" s="64"/>
      <c r="F202" s="64"/>
      <c r="G202" s="64"/>
      <c r="H202" s="64"/>
      <c r="I202" s="106"/>
      <c r="J202" s="108"/>
      <c r="K202" s="108"/>
      <c r="L202" s="108"/>
      <c r="M202" s="285"/>
    </row>
    <row r="203" spans="1:13" ht="24">
      <c r="A203" s="64"/>
      <c r="B203" s="107"/>
      <c r="C203" s="64"/>
      <c r="D203" s="108"/>
      <c r="E203" s="64"/>
      <c r="F203" s="64"/>
      <c r="G203" s="64"/>
      <c r="H203" s="64"/>
      <c r="I203" s="106"/>
      <c r="J203" s="108"/>
      <c r="K203" s="108"/>
      <c r="L203" s="108"/>
      <c r="M203" s="285"/>
    </row>
    <row r="204" spans="1:13" ht="24">
      <c r="A204" s="64"/>
      <c r="B204" s="107"/>
      <c r="C204" s="64"/>
      <c r="D204" s="108"/>
      <c r="E204" s="64"/>
      <c r="F204" s="64"/>
      <c r="G204" s="64"/>
      <c r="H204" s="64"/>
      <c r="I204" s="106"/>
      <c r="J204" s="108"/>
      <c r="K204" s="108"/>
      <c r="L204" s="108"/>
      <c r="M204" s="285"/>
    </row>
    <row r="205" spans="1:13" ht="24">
      <c r="A205" s="64"/>
      <c r="B205" s="107"/>
      <c r="C205" s="64"/>
      <c r="D205" s="108"/>
      <c r="E205" s="64"/>
      <c r="F205" s="64"/>
      <c r="G205" s="64"/>
      <c r="H205" s="64"/>
      <c r="I205" s="106"/>
      <c r="J205" s="108"/>
      <c r="K205" s="108"/>
      <c r="L205" s="108"/>
      <c r="M205" s="285"/>
    </row>
    <row r="206" spans="1:13" ht="24">
      <c r="A206" s="64"/>
      <c r="B206" s="107"/>
      <c r="C206" s="64"/>
      <c r="D206" s="108"/>
      <c r="E206" s="64"/>
      <c r="F206" s="64"/>
      <c r="G206" s="64"/>
      <c r="H206" s="64"/>
      <c r="I206" s="106"/>
      <c r="J206" s="108"/>
      <c r="K206" s="108"/>
      <c r="L206" s="108"/>
      <c r="M206" s="285"/>
    </row>
    <row r="207" spans="1:13" ht="24">
      <c r="A207" s="64"/>
      <c r="B207" s="107"/>
      <c r="C207" s="64"/>
      <c r="D207" s="108"/>
      <c r="E207" s="64"/>
      <c r="F207" s="64"/>
      <c r="G207" s="64"/>
      <c r="H207" s="64"/>
      <c r="I207" s="106"/>
      <c r="J207" s="108"/>
      <c r="K207" s="108"/>
      <c r="L207" s="108"/>
      <c r="M207" s="285"/>
    </row>
    <row r="208" spans="1:13" ht="24">
      <c r="A208" s="64"/>
      <c r="B208" s="107"/>
      <c r="C208" s="64"/>
      <c r="D208" s="108"/>
      <c r="E208" s="64"/>
      <c r="F208" s="64"/>
      <c r="G208" s="64"/>
      <c r="H208" s="64"/>
      <c r="I208" s="106"/>
      <c r="J208" s="108"/>
      <c r="K208" s="108"/>
      <c r="L208" s="108"/>
      <c r="M208" s="285"/>
    </row>
    <row r="209" spans="1:13" ht="24">
      <c r="A209" s="64"/>
      <c r="B209" s="107"/>
      <c r="C209" s="64"/>
      <c r="D209" s="108"/>
      <c r="E209" s="64"/>
      <c r="F209" s="64"/>
      <c r="G209" s="64"/>
      <c r="H209" s="64"/>
      <c r="I209" s="106"/>
      <c r="J209" s="108"/>
      <c r="K209" s="108"/>
      <c r="L209" s="108"/>
      <c r="M209" s="285"/>
    </row>
    <row r="210" spans="1:13" ht="24">
      <c r="A210" s="64"/>
      <c r="B210" s="107"/>
      <c r="C210" s="64"/>
      <c r="D210" s="108"/>
      <c r="E210" s="64"/>
      <c r="F210" s="64"/>
      <c r="G210" s="64"/>
      <c r="H210" s="64"/>
      <c r="I210" s="106"/>
      <c r="J210" s="108"/>
      <c r="K210" s="108"/>
      <c r="L210" s="108"/>
      <c r="M210" s="285"/>
    </row>
    <row r="211" spans="1:13" ht="24">
      <c r="A211" s="64"/>
      <c r="B211" s="107"/>
      <c r="C211" s="64"/>
      <c r="D211" s="108"/>
      <c r="E211" s="64"/>
      <c r="F211" s="64"/>
      <c r="G211" s="64"/>
      <c r="H211" s="64"/>
      <c r="I211" s="106"/>
      <c r="J211" s="108"/>
      <c r="K211" s="108"/>
      <c r="L211" s="108"/>
      <c r="M211" s="285"/>
    </row>
    <row r="212" spans="1:13" ht="24">
      <c r="A212" s="64"/>
      <c r="B212" s="107"/>
      <c r="C212" s="64"/>
      <c r="D212" s="108"/>
      <c r="E212" s="64"/>
      <c r="F212" s="64"/>
      <c r="G212" s="64"/>
      <c r="H212" s="64"/>
      <c r="I212" s="106"/>
      <c r="J212" s="108"/>
      <c r="K212" s="108"/>
      <c r="L212" s="108"/>
      <c r="M212" s="285"/>
    </row>
    <row r="213" spans="1:13" ht="24">
      <c r="A213" s="64"/>
      <c r="B213" s="107"/>
      <c r="C213" s="64"/>
      <c r="D213" s="108"/>
      <c r="E213" s="64"/>
      <c r="F213" s="64"/>
      <c r="G213" s="64"/>
      <c r="H213" s="64"/>
      <c r="I213" s="106"/>
      <c r="J213" s="108"/>
      <c r="K213" s="108"/>
      <c r="L213" s="108"/>
      <c r="M213" s="285"/>
    </row>
    <row r="214" spans="1:13" ht="24">
      <c r="A214" s="64"/>
      <c r="B214" s="107"/>
      <c r="C214" s="64"/>
      <c r="D214" s="108"/>
      <c r="E214" s="64"/>
      <c r="F214" s="64"/>
      <c r="G214" s="64"/>
      <c r="H214" s="64"/>
      <c r="I214" s="106"/>
      <c r="J214" s="108"/>
      <c r="K214" s="108"/>
      <c r="L214" s="108"/>
      <c r="M214" s="285"/>
    </row>
    <row r="215" spans="1:13" ht="24">
      <c r="A215" s="64"/>
      <c r="B215" s="107"/>
      <c r="C215" s="64"/>
      <c r="D215" s="108"/>
      <c r="E215" s="64"/>
      <c r="F215" s="64"/>
      <c r="G215" s="64"/>
      <c r="H215" s="64"/>
      <c r="I215" s="106"/>
      <c r="J215" s="108"/>
      <c r="K215" s="108"/>
      <c r="L215" s="108"/>
      <c r="M215" s="285"/>
    </row>
  </sheetData>
  <mergeCells count="10">
    <mergeCell ref="B51:D51"/>
    <mergeCell ref="B18:D18"/>
    <mergeCell ref="B40:C40"/>
    <mergeCell ref="A1:M1"/>
    <mergeCell ref="A2:M2"/>
    <mergeCell ref="A3:M3"/>
    <mergeCell ref="A4:M4"/>
    <mergeCell ref="D5:F5"/>
    <mergeCell ref="G5:I5"/>
    <mergeCell ref="J5:L5"/>
  </mergeCells>
  <pageMargins left="0.15748031496062992" right="0.15748031496062992" top="0.21" bottom="0.23622047244094491" header="0.17" footer="0.1574803149606299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16" zoomScale="91" zoomScaleNormal="106" zoomScaleSheetLayoutView="91" workbookViewId="0">
      <selection activeCell="G8" sqref="G8"/>
    </sheetView>
  </sheetViews>
  <sheetFormatPr defaultRowHeight="20.25"/>
  <cols>
    <col min="1" max="1" width="3.5" style="6" customWidth="1"/>
    <col min="2" max="2" width="16.625" style="12" customWidth="1"/>
    <col min="3" max="3" width="7" style="6" customWidth="1"/>
    <col min="4" max="4" width="9.5" style="13" customWidth="1"/>
    <col min="5" max="5" width="18.125" style="6" customWidth="1"/>
    <col min="6" max="6" width="4.625" style="6" customWidth="1"/>
    <col min="7" max="7" width="15.375" style="6" customWidth="1"/>
    <col min="8" max="8" width="18.625" style="6" customWidth="1"/>
    <col min="9" max="9" width="6" style="11" customWidth="1"/>
    <col min="10" max="10" width="8.125" style="13" customWidth="1"/>
    <col min="11" max="12" width="9" style="13"/>
    <col min="13" max="13" width="8.375" style="13" customWidth="1"/>
    <col min="14" max="16384" width="9" style="6"/>
  </cols>
  <sheetData>
    <row r="1" spans="1:13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24">
      <c r="A2" s="195" t="s">
        <v>287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24">
      <c r="A3" s="196" t="s">
        <v>620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4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21.75" customHeight="1">
      <c r="A5" s="153"/>
      <c r="B5" s="21"/>
      <c r="C5" s="22"/>
      <c r="D5" s="190" t="s">
        <v>289</v>
      </c>
      <c r="E5" s="191"/>
      <c r="F5" s="192"/>
      <c r="G5" s="190" t="s">
        <v>637</v>
      </c>
      <c r="H5" s="191"/>
      <c r="I5" s="192"/>
      <c r="J5" s="190" t="s">
        <v>3</v>
      </c>
      <c r="K5" s="191"/>
      <c r="L5" s="192"/>
      <c r="M5" s="23"/>
    </row>
    <row r="6" spans="1:13" ht="20.25" customHeight="1">
      <c r="A6" s="24" t="s">
        <v>73</v>
      </c>
      <c r="B6" s="24" t="s">
        <v>1</v>
      </c>
      <c r="C6" s="25" t="s">
        <v>2</v>
      </c>
      <c r="D6" s="26" t="s">
        <v>306</v>
      </c>
      <c r="E6" s="27" t="s">
        <v>290</v>
      </c>
      <c r="F6" s="27" t="s">
        <v>5</v>
      </c>
      <c r="G6" s="26" t="s">
        <v>4</v>
      </c>
      <c r="H6" s="27" t="s">
        <v>290</v>
      </c>
      <c r="I6" s="28" t="s">
        <v>5</v>
      </c>
      <c r="J6" s="26" t="s">
        <v>3</v>
      </c>
      <c r="K6" s="26" t="s">
        <v>292</v>
      </c>
      <c r="L6" s="29" t="s">
        <v>293</v>
      </c>
      <c r="M6" s="30" t="s">
        <v>295</v>
      </c>
    </row>
    <row r="7" spans="1:13" ht="21.75" customHeight="1">
      <c r="A7" s="31"/>
      <c r="B7" s="259"/>
      <c r="C7" s="33" t="s">
        <v>288</v>
      </c>
      <c r="D7" s="34" t="s">
        <v>290</v>
      </c>
      <c r="E7" s="31"/>
      <c r="F7" s="31"/>
      <c r="G7" s="34"/>
      <c r="H7" s="31"/>
      <c r="I7" s="35"/>
      <c r="J7" s="34"/>
      <c r="K7" s="36" t="s">
        <v>290</v>
      </c>
      <c r="L7" s="37" t="s">
        <v>294</v>
      </c>
      <c r="M7" s="38"/>
    </row>
    <row r="8" spans="1:13" ht="24">
      <c r="A8" s="39">
        <v>1</v>
      </c>
      <c r="B8" s="39" t="s">
        <v>12</v>
      </c>
      <c r="C8" s="103" t="s">
        <v>12</v>
      </c>
      <c r="D8" s="165" t="s">
        <v>587</v>
      </c>
      <c r="E8" s="213" t="s">
        <v>588</v>
      </c>
      <c r="F8" s="214">
        <v>8</v>
      </c>
      <c r="G8" s="43" t="s">
        <v>590</v>
      </c>
      <c r="H8" s="213" t="s">
        <v>588</v>
      </c>
      <c r="I8" s="44" t="s">
        <v>305</v>
      </c>
      <c r="J8" s="45" t="s">
        <v>12</v>
      </c>
      <c r="K8" s="45" t="s">
        <v>12</v>
      </c>
      <c r="L8" s="45" t="s">
        <v>12</v>
      </c>
      <c r="M8" s="45" t="s">
        <v>307</v>
      </c>
    </row>
    <row r="9" spans="1:13" ht="24">
      <c r="A9" s="46"/>
      <c r="B9" s="47"/>
      <c r="C9" s="96"/>
      <c r="D9" s="96"/>
      <c r="E9" s="170" t="s">
        <v>589</v>
      </c>
      <c r="F9" s="96"/>
      <c r="G9" s="49"/>
      <c r="H9" s="170" t="s">
        <v>589</v>
      </c>
      <c r="I9" s="49"/>
      <c r="J9" s="48"/>
      <c r="K9" s="48"/>
      <c r="L9" s="48"/>
      <c r="M9" s="48"/>
    </row>
    <row r="10" spans="1:13" ht="24">
      <c r="A10" s="46"/>
      <c r="B10" s="155" t="s">
        <v>591</v>
      </c>
      <c r="C10" s="286"/>
      <c r="D10" s="96"/>
      <c r="E10" s="96"/>
      <c r="F10" s="96"/>
      <c r="G10" s="49"/>
      <c r="H10" s="96"/>
      <c r="I10" s="49"/>
      <c r="J10" s="48"/>
      <c r="K10" s="48"/>
      <c r="L10" s="48"/>
      <c r="M10" s="48"/>
    </row>
    <row r="11" spans="1:13" ht="24">
      <c r="A11" s="46">
        <v>2</v>
      </c>
      <c r="B11" s="287" t="s">
        <v>592</v>
      </c>
      <c r="C11" s="46" t="s">
        <v>6</v>
      </c>
      <c r="D11" s="52" t="s">
        <v>593</v>
      </c>
      <c r="E11" s="46" t="s">
        <v>594</v>
      </c>
      <c r="F11" s="46">
        <v>7</v>
      </c>
      <c r="G11" s="49" t="s">
        <v>595</v>
      </c>
      <c r="H11" s="46" t="s">
        <v>594</v>
      </c>
      <c r="I11" s="50" t="s">
        <v>300</v>
      </c>
      <c r="J11" s="53">
        <f>27480*12</f>
        <v>329760</v>
      </c>
      <c r="K11" s="48">
        <f>1500*9</f>
        <v>13500</v>
      </c>
      <c r="L11" s="48" t="s">
        <v>12</v>
      </c>
      <c r="M11" s="48">
        <f>SUM(J11:L11)</f>
        <v>343260</v>
      </c>
    </row>
    <row r="12" spans="1:13" ht="24">
      <c r="A12" s="46"/>
      <c r="B12" s="47"/>
      <c r="C12" s="46"/>
      <c r="D12" s="52"/>
      <c r="E12" s="46" t="s">
        <v>589</v>
      </c>
      <c r="F12" s="46"/>
      <c r="G12" s="49"/>
      <c r="H12" s="46" t="s">
        <v>589</v>
      </c>
      <c r="I12" s="49"/>
      <c r="J12" s="48"/>
      <c r="K12" s="48"/>
      <c r="L12" s="48"/>
      <c r="M12" s="48"/>
    </row>
    <row r="13" spans="1:13" ht="24">
      <c r="A13" s="46"/>
      <c r="B13" s="59" t="s">
        <v>596</v>
      </c>
      <c r="C13" s="46"/>
      <c r="D13" s="52"/>
      <c r="E13" s="54"/>
      <c r="F13" s="46"/>
      <c r="G13" s="49"/>
      <c r="H13" s="54"/>
      <c r="I13" s="50"/>
      <c r="J13" s="48"/>
      <c r="K13" s="48"/>
      <c r="L13" s="48"/>
      <c r="M13" s="48"/>
    </row>
    <row r="14" spans="1:13" ht="24">
      <c r="A14" s="46">
        <v>3</v>
      </c>
      <c r="B14" s="47" t="s">
        <v>597</v>
      </c>
      <c r="C14" s="46" t="s">
        <v>6</v>
      </c>
      <c r="D14" s="52" t="s">
        <v>598</v>
      </c>
      <c r="E14" s="46" t="s">
        <v>599</v>
      </c>
      <c r="F14" s="46" t="s">
        <v>312</v>
      </c>
      <c r="G14" s="49" t="s">
        <v>601</v>
      </c>
      <c r="H14" s="50" t="s">
        <v>602</v>
      </c>
      <c r="I14" s="49" t="s">
        <v>316</v>
      </c>
      <c r="J14" s="48">
        <f>25190*12</f>
        <v>302280</v>
      </c>
      <c r="K14" s="48" t="s">
        <v>12</v>
      </c>
      <c r="L14" s="48" t="s">
        <v>12</v>
      </c>
      <c r="M14" s="48"/>
    </row>
    <row r="15" spans="1:13" ht="24">
      <c r="A15" s="46">
        <v>4</v>
      </c>
      <c r="B15" s="47" t="s">
        <v>612</v>
      </c>
      <c r="C15" s="46" t="s">
        <v>157</v>
      </c>
      <c r="D15" s="52" t="s">
        <v>613</v>
      </c>
      <c r="E15" s="46" t="s">
        <v>599</v>
      </c>
      <c r="F15" s="46" t="s">
        <v>312</v>
      </c>
      <c r="G15" s="49" t="s">
        <v>614</v>
      </c>
      <c r="H15" s="50" t="s">
        <v>602</v>
      </c>
      <c r="I15" s="49" t="s">
        <v>316</v>
      </c>
      <c r="J15" s="48">
        <f>22920*12</f>
        <v>275040</v>
      </c>
      <c r="K15" s="48" t="s">
        <v>12</v>
      </c>
      <c r="L15" s="48" t="s">
        <v>12</v>
      </c>
      <c r="M15" s="48"/>
    </row>
    <row r="16" spans="1:13" ht="24">
      <c r="A16" s="46">
        <v>5</v>
      </c>
      <c r="B16" s="47" t="s">
        <v>603</v>
      </c>
      <c r="C16" s="49" t="s">
        <v>15</v>
      </c>
      <c r="D16" s="52" t="s">
        <v>12</v>
      </c>
      <c r="E16" s="46" t="s">
        <v>604</v>
      </c>
      <c r="F16" s="46" t="s">
        <v>12</v>
      </c>
      <c r="G16" s="49" t="s">
        <v>12</v>
      </c>
      <c r="H16" s="46" t="s">
        <v>604</v>
      </c>
      <c r="I16" s="49" t="s">
        <v>12</v>
      </c>
      <c r="J16" s="48">
        <f>19220*12</f>
        <v>230640</v>
      </c>
      <c r="K16" s="48" t="s">
        <v>12</v>
      </c>
      <c r="L16" s="48" t="s">
        <v>12</v>
      </c>
      <c r="M16" s="48"/>
    </row>
    <row r="17" spans="1:13" ht="24">
      <c r="A17" s="46">
        <v>6</v>
      </c>
      <c r="B17" s="47" t="s">
        <v>605</v>
      </c>
      <c r="C17" s="46" t="s">
        <v>33</v>
      </c>
      <c r="D17" s="52" t="s">
        <v>12</v>
      </c>
      <c r="E17" s="46" t="s">
        <v>604</v>
      </c>
      <c r="F17" s="46" t="s">
        <v>12</v>
      </c>
      <c r="G17" s="49" t="s">
        <v>12</v>
      </c>
      <c r="H17" s="46" t="s">
        <v>604</v>
      </c>
      <c r="I17" s="49" t="s">
        <v>12</v>
      </c>
      <c r="J17" s="48">
        <f>17050*12</f>
        <v>204600</v>
      </c>
      <c r="K17" s="48" t="s">
        <v>12</v>
      </c>
      <c r="L17" s="48" t="s">
        <v>12</v>
      </c>
      <c r="M17" s="48"/>
    </row>
    <row r="18" spans="1:13" ht="24">
      <c r="A18" s="46"/>
      <c r="B18" s="280" t="s">
        <v>606</v>
      </c>
      <c r="C18" s="238"/>
      <c r="D18" s="52"/>
      <c r="E18" s="238"/>
      <c r="F18" s="46"/>
      <c r="G18" s="49"/>
      <c r="H18" s="238"/>
      <c r="I18" s="49"/>
      <c r="J18" s="48"/>
      <c r="K18" s="48"/>
      <c r="L18" s="48"/>
      <c r="M18" s="48"/>
    </row>
    <row r="19" spans="1:13" ht="24">
      <c r="A19" s="46">
        <v>7</v>
      </c>
      <c r="B19" s="239" t="s">
        <v>607</v>
      </c>
      <c r="C19" s="241" t="s">
        <v>6</v>
      </c>
      <c r="D19" s="52" t="s">
        <v>608</v>
      </c>
      <c r="E19" s="242" t="s">
        <v>609</v>
      </c>
      <c r="F19" s="46">
        <v>6</v>
      </c>
      <c r="G19" s="49" t="s">
        <v>600</v>
      </c>
      <c r="H19" s="242" t="s">
        <v>609</v>
      </c>
      <c r="I19" s="49" t="s">
        <v>300</v>
      </c>
      <c r="J19" s="48">
        <f>22920*12</f>
        <v>275040</v>
      </c>
      <c r="K19" s="48">
        <f>1500*9</f>
        <v>13500</v>
      </c>
      <c r="L19" s="48" t="s">
        <v>12</v>
      </c>
      <c r="M19" s="48">
        <f>SUM(J19:L19)</f>
        <v>288540</v>
      </c>
    </row>
    <row r="20" spans="1:13" ht="24">
      <c r="A20" s="46"/>
      <c r="B20" s="288"/>
      <c r="C20" s="289"/>
      <c r="D20" s="96"/>
      <c r="E20" s="46" t="s">
        <v>589</v>
      </c>
      <c r="F20" s="46"/>
      <c r="G20" s="49"/>
      <c r="H20" s="46" t="s">
        <v>589</v>
      </c>
      <c r="I20" s="49"/>
      <c r="J20" s="48"/>
      <c r="K20" s="48"/>
      <c r="L20" s="48"/>
      <c r="M20" s="48"/>
    </row>
    <row r="21" spans="1:13" ht="24">
      <c r="A21" s="46"/>
      <c r="B21" s="290" t="s">
        <v>610</v>
      </c>
      <c r="C21" s="291"/>
      <c r="D21" s="52"/>
      <c r="E21" s="96"/>
      <c r="F21" s="46"/>
      <c r="G21" s="49"/>
      <c r="H21" s="96"/>
      <c r="I21" s="49"/>
      <c r="J21" s="48"/>
      <c r="K21" s="48"/>
      <c r="L21" s="48"/>
      <c r="M21" s="48"/>
    </row>
    <row r="22" spans="1:13" ht="24">
      <c r="A22" s="46">
        <v>8</v>
      </c>
      <c r="B22" s="96" t="s">
        <v>12</v>
      </c>
      <c r="C22" s="96" t="s">
        <v>12</v>
      </c>
      <c r="D22" s="96" t="s">
        <v>12</v>
      </c>
      <c r="E22" s="96" t="s">
        <v>26</v>
      </c>
      <c r="F22" s="46" t="s">
        <v>12</v>
      </c>
      <c r="G22" s="46" t="s">
        <v>12</v>
      </c>
      <c r="H22" s="96" t="s">
        <v>26</v>
      </c>
      <c r="I22" s="49" t="s">
        <v>12</v>
      </c>
      <c r="J22" s="48" t="s">
        <v>12</v>
      </c>
      <c r="K22" s="48" t="s">
        <v>12</v>
      </c>
      <c r="L22" s="48" t="s">
        <v>12</v>
      </c>
      <c r="M22" s="48" t="s">
        <v>307</v>
      </c>
    </row>
    <row r="23" spans="1:13" ht="24">
      <c r="A23" s="65"/>
      <c r="B23" s="101"/>
      <c r="C23" s="101"/>
      <c r="D23" s="101"/>
      <c r="E23" s="101"/>
      <c r="F23" s="65"/>
      <c r="G23" s="65"/>
      <c r="H23" s="101"/>
      <c r="I23" s="68"/>
      <c r="J23" s="69"/>
      <c r="K23" s="69"/>
      <c r="L23" s="69"/>
      <c r="M23" s="69"/>
    </row>
    <row r="24" spans="1:13" ht="24">
      <c r="A24" s="41"/>
      <c r="B24" s="249" t="s">
        <v>611</v>
      </c>
      <c r="C24" s="250"/>
      <c r="D24" s="103"/>
      <c r="E24" s="103"/>
      <c r="F24" s="41"/>
      <c r="G24" s="41"/>
      <c r="H24" s="103"/>
      <c r="I24" s="43"/>
      <c r="J24" s="45"/>
      <c r="K24" s="45"/>
      <c r="L24" s="45"/>
      <c r="M24" s="45"/>
    </row>
    <row r="25" spans="1:13" ht="24">
      <c r="A25" s="46">
        <v>9</v>
      </c>
      <c r="B25" s="170" t="s">
        <v>12</v>
      </c>
      <c r="C25" s="170" t="s">
        <v>12</v>
      </c>
      <c r="D25" s="52" t="s">
        <v>615</v>
      </c>
      <c r="E25" s="170" t="s">
        <v>599</v>
      </c>
      <c r="F25" s="179" t="s">
        <v>471</v>
      </c>
      <c r="G25" s="49" t="s">
        <v>616</v>
      </c>
      <c r="H25" s="170" t="s">
        <v>602</v>
      </c>
      <c r="I25" s="49" t="s">
        <v>472</v>
      </c>
      <c r="J25" s="48" t="s">
        <v>12</v>
      </c>
      <c r="K25" s="48" t="s">
        <v>12</v>
      </c>
      <c r="L25" s="48" t="s">
        <v>12</v>
      </c>
      <c r="M25" s="48" t="s">
        <v>307</v>
      </c>
    </row>
    <row r="26" spans="1:13" ht="24">
      <c r="A26" s="46">
        <v>10</v>
      </c>
      <c r="B26" s="96" t="s">
        <v>12</v>
      </c>
      <c r="C26" s="96" t="s">
        <v>12</v>
      </c>
      <c r="D26" s="96" t="s">
        <v>12</v>
      </c>
      <c r="E26" s="96" t="s">
        <v>26</v>
      </c>
      <c r="F26" s="46" t="s">
        <v>12</v>
      </c>
      <c r="G26" s="46" t="s">
        <v>12</v>
      </c>
      <c r="H26" s="96" t="s">
        <v>26</v>
      </c>
      <c r="I26" s="49" t="s">
        <v>12</v>
      </c>
      <c r="J26" s="48" t="s">
        <v>12</v>
      </c>
      <c r="K26" s="48" t="s">
        <v>12</v>
      </c>
      <c r="L26" s="48" t="s">
        <v>12</v>
      </c>
      <c r="M26" s="48" t="s">
        <v>307</v>
      </c>
    </row>
    <row r="27" spans="1:13" ht="24">
      <c r="A27" s="46"/>
      <c r="B27" s="227" t="s">
        <v>18</v>
      </c>
      <c r="C27" s="170"/>
      <c r="D27" s="52"/>
      <c r="E27" s="46"/>
      <c r="F27" s="46"/>
      <c r="G27" s="49"/>
      <c r="H27" s="50"/>
      <c r="I27" s="49"/>
      <c r="J27" s="48"/>
      <c r="K27" s="48"/>
      <c r="L27" s="48"/>
      <c r="M27" s="48"/>
    </row>
    <row r="28" spans="1:13" ht="24">
      <c r="A28" s="65">
        <v>11</v>
      </c>
      <c r="B28" s="161" t="s">
        <v>617</v>
      </c>
      <c r="C28" s="162" t="s">
        <v>36</v>
      </c>
      <c r="D28" s="247" t="s">
        <v>618</v>
      </c>
      <c r="E28" s="162" t="s">
        <v>232</v>
      </c>
      <c r="F28" s="248">
        <v>3</v>
      </c>
      <c r="G28" s="68" t="s">
        <v>619</v>
      </c>
      <c r="H28" s="162" t="s">
        <v>232</v>
      </c>
      <c r="I28" s="68" t="s">
        <v>439</v>
      </c>
      <c r="J28" s="69">
        <f>14810*12</f>
        <v>177720</v>
      </c>
      <c r="K28" s="69" t="s">
        <v>12</v>
      </c>
      <c r="L28" s="69" t="s">
        <v>12</v>
      </c>
      <c r="M28" s="69"/>
    </row>
    <row r="29" spans="1:13" ht="24">
      <c r="A29" s="64"/>
      <c r="B29" s="107"/>
      <c r="C29" s="64"/>
      <c r="D29" s="108"/>
      <c r="E29" s="64"/>
      <c r="F29" s="64"/>
      <c r="G29" s="64"/>
      <c r="H29" s="64"/>
      <c r="I29" s="106"/>
      <c r="J29" s="108"/>
      <c r="K29" s="108"/>
      <c r="L29" s="108"/>
      <c r="M29" s="108"/>
    </row>
    <row r="30" spans="1:13" ht="24">
      <c r="A30" s="64"/>
      <c r="B30" s="107"/>
      <c r="C30" s="64"/>
      <c r="D30" s="108"/>
      <c r="E30" s="64"/>
      <c r="F30" s="64"/>
      <c r="G30" s="64"/>
      <c r="H30" s="64"/>
      <c r="I30" s="106"/>
      <c r="J30" s="108"/>
      <c r="K30" s="108"/>
      <c r="L30" s="108"/>
      <c r="M30" s="108"/>
    </row>
    <row r="31" spans="1:13" ht="24">
      <c r="A31" s="64"/>
      <c r="B31" s="107"/>
      <c r="C31" s="64"/>
      <c r="D31" s="108"/>
      <c r="E31" s="64"/>
      <c r="F31" s="64"/>
      <c r="G31" s="64"/>
      <c r="H31" s="64"/>
      <c r="I31" s="106"/>
      <c r="J31" s="108"/>
      <c r="K31" s="108"/>
      <c r="L31" s="108"/>
      <c r="M31" s="108"/>
    </row>
    <row r="32" spans="1:13" ht="24">
      <c r="A32" s="64"/>
      <c r="B32" s="107"/>
      <c r="C32" s="64"/>
      <c r="D32" s="108"/>
      <c r="E32" s="64"/>
      <c r="F32" s="64"/>
      <c r="G32" s="64"/>
      <c r="H32" s="64"/>
      <c r="I32" s="106"/>
      <c r="J32" s="108"/>
      <c r="K32" s="108"/>
      <c r="L32" s="108"/>
      <c r="M32" s="108"/>
    </row>
    <row r="33" spans="1:13" ht="24">
      <c r="A33" s="64"/>
      <c r="B33" s="107"/>
      <c r="C33" s="64"/>
      <c r="D33" s="108"/>
      <c r="E33" s="64"/>
      <c r="F33" s="64"/>
      <c r="G33" s="64"/>
      <c r="H33" s="64"/>
      <c r="I33" s="106"/>
      <c r="J33" s="108"/>
      <c r="K33" s="108"/>
      <c r="L33" s="108"/>
      <c r="M33" s="108"/>
    </row>
    <row r="34" spans="1:13" ht="24">
      <c r="A34" s="64"/>
      <c r="B34" s="107"/>
      <c r="C34" s="64"/>
      <c r="D34" s="108"/>
      <c r="E34" s="64"/>
      <c r="F34" s="64"/>
      <c r="G34" s="64"/>
      <c r="H34" s="64"/>
      <c r="I34" s="106"/>
      <c r="J34" s="108"/>
      <c r="K34" s="108"/>
      <c r="L34" s="108"/>
      <c r="M34" s="108"/>
    </row>
    <row r="35" spans="1:13" ht="24">
      <c r="A35" s="64"/>
      <c r="B35" s="107"/>
      <c r="C35" s="64"/>
      <c r="D35" s="108"/>
      <c r="E35" s="64"/>
      <c r="F35" s="64"/>
      <c r="G35" s="64"/>
      <c r="H35" s="64"/>
      <c r="I35" s="106"/>
      <c r="J35" s="108"/>
      <c r="K35" s="108"/>
      <c r="L35" s="108"/>
      <c r="M35" s="108"/>
    </row>
  </sheetData>
  <mergeCells count="8">
    <mergeCell ref="B24:C24"/>
    <mergeCell ref="A1:M1"/>
    <mergeCell ref="A2:M2"/>
    <mergeCell ref="A3:M3"/>
    <mergeCell ref="A4:M4"/>
    <mergeCell ref="D5:F5"/>
    <mergeCell ref="G5:I5"/>
    <mergeCell ref="J5:L5"/>
  </mergeCells>
  <pageMargins left="0.15748031496062992" right="0.15748031496062992" top="0.21" bottom="0.23622047244094491" header="0.17" footer="0.1574803149606299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"/>
  <sheetViews>
    <sheetView tabSelected="1" zoomScale="106" zoomScaleNormal="106" zoomScaleSheetLayoutView="91" workbookViewId="0">
      <selection activeCell="F15" sqref="F15"/>
    </sheetView>
  </sheetViews>
  <sheetFormatPr defaultRowHeight="20.25"/>
  <cols>
    <col min="1" max="1" width="3.5" style="1" customWidth="1"/>
    <col min="2" max="2" width="16.625" style="1" customWidth="1"/>
    <col min="3" max="3" width="7" style="1" customWidth="1"/>
    <col min="4" max="4" width="9.5" style="2" customWidth="1"/>
    <col min="5" max="5" width="18.125" style="1" customWidth="1"/>
    <col min="6" max="6" width="4.625" style="1" customWidth="1"/>
    <col min="7" max="7" width="15.375" style="1" customWidth="1"/>
    <col min="8" max="8" width="18.625" style="1" customWidth="1"/>
    <col min="9" max="9" width="6" style="3" customWidth="1"/>
    <col min="10" max="10" width="8.125" style="2" customWidth="1"/>
    <col min="11" max="12" width="9" style="2"/>
    <col min="13" max="13" width="8.375" style="2" customWidth="1"/>
    <col min="14" max="16384" width="9" style="1"/>
  </cols>
  <sheetData>
    <row r="1" spans="1:13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24">
      <c r="A2" s="202" t="s">
        <v>287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24">
      <c r="A3" s="203" t="s">
        <v>625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24">
      <c r="A4" s="204" t="s">
        <v>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21.75" customHeight="1">
      <c r="A5" s="109"/>
      <c r="B5" s="292"/>
      <c r="C5" s="111"/>
      <c r="D5" s="205" t="s">
        <v>289</v>
      </c>
      <c r="E5" s="206"/>
      <c r="F5" s="207"/>
      <c r="G5" s="190" t="s">
        <v>637</v>
      </c>
      <c r="H5" s="191"/>
      <c r="I5" s="192"/>
      <c r="J5" s="205" t="s">
        <v>3</v>
      </c>
      <c r="K5" s="206"/>
      <c r="L5" s="207"/>
      <c r="M5" s="112"/>
    </row>
    <row r="6" spans="1:13" ht="20.25" customHeight="1">
      <c r="A6" s="113" t="s">
        <v>73</v>
      </c>
      <c r="B6" s="113" t="s">
        <v>1</v>
      </c>
      <c r="C6" s="114" t="s">
        <v>2</v>
      </c>
      <c r="D6" s="115" t="s">
        <v>306</v>
      </c>
      <c r="E6" s="116" t="s">
        <v>290</v>
      </c>
      <c r="F6" s="116" t="s">
        <v>5</v>
      </c>
      <c r="G6" s="115" t="s">
        <v>4</v>
      </c>
      <c r="H6" s="116" t="s">
        <v>290</v>
      </c>
      <c r="I6" s="117" t="s">
        <v>5</v>
      </c>
      <c r="J6" s="115" t="s">
        <v>3</v>
      </c>
      <c r="K6" s="115" t="s">
        <v>292</v>
      </c>
      <c r="L6" s="118" t="s">
        <v>293</v>
      </c>
      <c r="M6" s="119" t="s">
        <v>295</v>
      </c>
    </row>
    <row r="7" spans="1:13" ht="21.75" customHeight="1">
      <c r="A7" s="120"/>
      <c r="B7" s="293"/>
      <c r="C7" s="122" t="s">
        <v>288</v>
      </c>
      <c r="D7" s="123" t="s">
        <v>290</v>
      </c>
      <c r="E7" s="120"/>
      <c r="F7" s="120"/>
      <c r="G7" s="123"/>
      <c r="H7" s="120"/>
      <c r="I7" s="124"/>
      <c r="J7" s="123"/>
      <c r="K7" s="125" t="s">
        <v>290</v>
      </c>
      <c r="L7" s="126" t="s">
        <v>294</v>
      </c>
      <c r="M7" s="127"/>
    </row>
    <row r="8" spans="1:13" ht="24">
      <c r="A8" s="128">
        <v>1</v>
      </c>
      <c r="B8" s="128" t="s">
        <v>12</v>
      </c>
      <c r="C8" s="294" t="s">
        <v>12</v>
      </c>
      <c r="D8" s="295" t="s">
        <v>621</v>
      </c>
      <c r="E8" s="296" t="s">
        <v>622</v>
      </c>
      <c r="F8" s="297" t="s">
        <v>471</v>
      </c>
      <c r="G8" s="132" t="s">
        <v>623</v>
      </c>
      <c r="H8" s="296" t="s">
        <v>624</v>
      </c>
      <c r="I8" s="133" t="s">
        <v>472</v>
      </c>
      <c r="J8" s="134" t="s">
        <v>12</v>
      </c>
      <c r="K8" s="134" t="s">
        <v>12</v>
      </c>
      <c r="L8" s="134" t="s">
        <v>12</v>
      </c>
      <c r="M8" s="298" t="s">
        <v>307</v>
      </c>
    </row>
    <row r="9" spans="1:13" ht="24">
      <c r="A9" s="135"/>
      <c r="B9" s="227"/>
      <c r="C9" s="170"/>
      <c r="D9" s="140"/>
      <c r="E9" s="135"/>
      <c r="F9" s="135"/>
      <c r="G9" s="138"/>
      <c r="H9" s="141"/>
      <c r="I9" s="138"/>
      <c r="J9" s="137"/>
      <c r="K9" s="137"/>
      <c r="L9" s="137"/>
      <c r="M9" s="137"/>
    </row>
    <row r="10" spans="1:13" ht="24">
      <c r="A10" s="148"/>
      <c r="B10" s="162"/>
      <c r="C10" s="162"/>
      <c r="D10" s="299"/>
      <c r="E10" s="162"/>
      <c r="F10" s="248"/>
      <c r="G10" s="150"/>
      <c r="H10" s="162"/>
      <c r="I10" s="150"/>
      <c r="J10" s="151"/>
      <c r="K10" s="151"/>
      <c r="L10" s="151"/>
      <c r="M10" s="151"/>
    </row>
    <row r="11" spans="1:13" ht="24">
      <c r="A11" s="300"/>
      <c r="B11" s="300"/>
      <c r="C11" s="300"/>
      <c r="D11" s="301"/>
      <c r="E11" s="300"/>
      <c r="F11" s="300"/>
      <c r="G11" s="300"/>
      <c r="H11" s="300"/>
      <c r="I11" s="302"/>
      <c r="J11" s="301"/>
      <c r="K11" s="301"/>
      <c r="L11" s="301"/>
      <c r="M11" s="301"/>
    </row>
    <row r="12" spans="1:13" ht="24">
      <c r="A12" s="300"/>
      <c r="B12" s="300"/>
      <c r="C12" s="300"/>
      <c r="D12" s="301"/>
      <c r="E12" s="300"/>
      <c r="F12" s="300"/>
      <c r="G12" s="300"/>
      <c r="H12" s="300"/>
      <c r="I12" s="302"/>
      <c r="J12" s="301"/>
      <c r="K12" s="301"/>
      <c r="L12" s="301"/>
      <c r="M12" s="301"/>
    </row>
  </sheetData>
  <mergeCells count="7">
    <mergeCell ref="A1:M1"/>
    <mergeCell ref="A2:M2"/>
    <mergeCell ref="A3:M3"/>
    <mergeCell ref="A4:M4"/>
    <mergeCell ref="D5:F5"/>
    <mergeCell ref="G5:I5"/>
    <mergeCell ref="J5:L5"/>
  </mergeCells>
  <pageMargins left="0.15748031496062992" right="0.15748031496062992" top="0.21" bottom="0.23622047244094491" header="0.17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สป.</vt:lpstr>
      <vt:lpstr>คลัง</vt:lpstr>
      <vt:lpstr>ช่าง</vt:lpstr>
      <vt:lpstr>สาสุข</vt:lpstr>
      <vt:lpstr>วิชาการ</vt:lpstr>
      <vt:lpstr>ศึกษา</vt:lpstr>
      <vt:lpstr>สวัสดิการ</vt:lpstr>
      <vt:lpstr>ตรวจสอบ</vt:lpstr>
      <vt:lpstr>คลัง!Print_Titles</vt:lpstr>
      <vt:lpstr>ช่าง!Print_Titles</vt:lpstr>
      <vt:lpstr>ตรวจสอบ!Print_Titles</vt:lpstr>
      <vt:lpstr>วิชาการ!Print_Titles</vt:lpstr>
      <vt:lpstr>ศึกษา!Print_Titles</vt:lpstr>
      <vt:lpstr>สป.!Print_Titles</vt:lpstr>
      <vt:lpstr>สวัสดิการ!Print_Titles</vt:lpstr>
      <vt:lpstr>สาสุข!Print_Titles</vt:lpstr>
    </vt:vector>
  </TitlesOfParts>
  <Company>TrueFasterOS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TrueFasterUser</dc:creator>
  <cp:lastModifiedBy>nicky</cp:lastModifiedBy>
  <cp:lastPrinted>2017-05-04T02:21:51Z</cp:lastPrinted>
  <dcterms:created xsi:type="dcterms:W3CDTF">2014-10-22T03:57:11Z</dcterms:created>
  <dcterms:modified xsi:type="dcterms:W3CDTF">2017-05-04T02:21:52Z</dcterms:modified>
</cp:coreProperties>
</file>